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exisnv-my.sharepoint.com/personal/wgielis_aexis_com/Documents/Wim/Website/xlwdfiles/"/>
    </mc:Choice>
  </mc:AlternateContent>
  <xr:revisionPtr revIDLastSave="63" documentId="8_{227065FB-648A-486A-BD74-A5C91017BFC4}" xr6:coauthVersionLast="43" xr6:coauthVersionMax="43" xr10:uidLastSave="{9E6B755C-0855-4273-BA47-F17CADC9B5B9}"/>
  <bookViews>
    <workbookView xWindow="-28920" yWindow="-120" windowWidth="29040" windowHeight="15840" xr2:uid="{875E07DE-D391-423D-A369-23E0FCEF4F1C}"/>
  </bookViews>
  <sheets>
    <sheet name="Data" sheetId="1" r:id="rId1"/>
    <sheet name="Waterval" sheetId="2" r:id="rId2"/>
  </sheets>
  <definedNames>
    <definedName name="nFactor">Waterval!$S$2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" i="2" l="1"/>
  <c r="AG3" i="1" l="1"/>
  <c r="AH3" i="1"/>
  <c r="AI3" i="1"/>
  <c r="AJ3" i="1"/>
  <c r="AK3" i="1"/>
  <c r="AL3" i="1"/>
  <c r="AM3" i="1"/>
  <c r="AN3" i="1"/>
  <c r="AO3" i="1"/>
  <c r="AP3" i="1"/>
  <c r="AQ3" i="1"/>
  <c r="AG4" i="1"/>
  <c r="AH4" i="1"/>
  <c r="AI4" i="1"/>
  <c r="AJ4" i="1"/>
  <c r="AK4" i="1"/>
  <c r="AL4" i="1"/>
  <c r="AM4" i="1"/>
  <c r="AN4" i="1"/>
  <c r="AO4" i="1"/>
  <c r="AP4" i="1"/>
  <c r="AQ4" i="1"/>
  <c r="AG5" i="1"/>
  <c r="AH5" i="1"/>
  <c r="AI5" i="1"/>
  <c r="AJ5" i="1"/>
  <c r="AK5" i="1"/>
  <c r="AL5" i="1"/>
  <c r="AM5" i="1"/>
  <c r="AN5" i="1"/>
  <c r="AO5" i="1"/>
  <c r="AP5" i="1"/>
  <c r="AQ5" i="1"/>
  <c r="AG6" i="1"/>
  <c r="AH6" i="1"/>
  <c r="AI6" i="1"/>
  <c r="AJ6" i="1"/>
  <c r="AK6" i="1"/>
  <c r="AL6" i="1"/>
  <c r="AM6" i="1"/>
  <c r="AN6" i="1"/>
  <c r="AO6" i="1"/>
  <c r="AP6" i="1"/>
  <c r="AQ6" i="1"/>
  <c r="AG7" i="1"/>
  <c r="AH7" i="1"/>
  <c r="AI7" i="1"/>
  <c r="AJ7" i="1"/>
  <c r="AK7" i="1"/>
  <c r="AL7" i="1"/>
  <c r="AM7" i="1"/>
  <c r="AN7" i="1"/>
  <c r="AO7" i="1"/>
  <c r="AP7" i="1"/>
  <c r="AQ7" i="1"/>
  <c r="AG8" i="1"/>
  <c r="AH8" i="1"/>
  <c r="AI8" i="1"/>
  <c r="AJ8" i="1"/>
  <c r="AK8" i="1"/>
  <c r="AL8" i="1"/>
  <c r="AM8" i="1"/>
  <c r="AN8" i="1"/>
  <c r="AO8" i="1"/>
  <c r="AP8" i="1"/>
  <c r="AQ8" i="1"/>
  <c r="AG9" i="1"/>
  <c r="AH9" i="1"/>
  <c r="AI9" i="1"/>
  <c r="AJ9" i="1"/>
  <c r="AK9" i="1"/>
  <c r="AL9" i="1"/>
  <c r="AM9" i="1"/>
  <c r="AN9" i="1"/>
  <c r="AO9" i="1"/>
  <c r="AP9" i="1"/>
  <c r="AQ9" i="1"/>
  <c r="AG10" i="1"/>
  <c r="AH10" i="1"/>
  <c r="AI10" i="1"/>
  <c r="AJ10" i="1"/>
  <c r="AK10" i="1"/>
  <c r="AL10" i="1"/>
  <c r="AM10" i="1"/>
  <c r="AN10" i="1"/>
  <c r="AO10" i="1"/>
  <c r="AP10" i="1"/>
  <c r="AQ10" i="1"/>
  <c r="AG11" i="1"/>
  <c r="AH11" i="1"/>
  <c r="AI11" i="1"/>
  <c r="AJ11" i="1"/>
  <c r="AK11" i="1"/>
  <c r="AL11" i="1"/>
  <c r="AM11" i="1"/>
  <c r="AN11" i="1"/>
  <c r="AO11" i="1"/>
  <c r="AP11" i="1"/>
  <c r="AQ11" i="1"/>
  <c r="AG12" i="1"/>
  <c r="AH12" i="1"/>
  <c r="AI12" i="1"/>
  <c r="AJ12" i="1"/>
  <c r="AK12" i="1"/>
  <c r="AL12" i="1"/>
  <c r="AM12" i="1"/>
  <c r="AN12" i="1"/>
  <c r="AO12" i="1"/>
  <c r="AP12" i="1"/>
  <c r="AQ12" i="1"/>
  <c r="AF5" i="1" l="1"/>
  <c r="AF6" i="1"/>
  <c r="AF7" i="1"/>
  <c r="AF8" i="1"/>
  <c r="AF9" i="1"/>
  <c r="AF10" i="1"/>
  <c r="AF11" i="1"/>
  <c r="AF12" i="1"/>
  <c r="Y45" i="1" l="1"/>
  <c r="Y46" i="1"/>
  <c r="Y47" i="1"/>
  <c r="Y48" i="1"/>
  <c r="Y49" i="1"/>
  <c r="Y50" i="1"/>
  <c r="Y51" i="1"/>
  <c r="Y52" i="1"/>
  <c r="Y53" i="1"/>
  <c r="Y54" i="1"/>
  <c r="B2" i="2"/>
  <c r="A2" i="2"/>
  <c r="C49" i="1" l="1"/>
  <c r="C50" i="1"/>
  <c r="B45" i="1"/>
  <c r="C56" i="1"/>
  <c r="C55" i="1"/>
  <c r="C54" i="1"/>
  <c r="C53" i="1"/>
  <c r="C52" i="1"/>
  <c r="C51" i="1"/>
  <c r="C48" i="1"/>
  <c r="C47" i="1"/>
  <c r="C46" i="1"/>
  <c r="AF4" i="1"/>
  <c r="AF3" i="1"/>
  <c r="R26" i="1"/>
  <c r="R25" i="1" s="1"/>
  <c r="E16" i="1"/>
  <c r="N16" i="1"/>
  <c r="D16" i="1"/>
  <c r="R5" i="1"/>
  <c r="S5" i="1" s="1"/>
  <c r="S25" i="1" l="1"/>
  <c r="D45" i="1"/>
  <c r="T35" i="1"/>
  <c r="AG1" i="1" s="1"/>
  <c r="F16" i="1"/>
  <c r="R32" i="1"/>
  <c r="R31" i="1"/>
  <c r="R27" i="1"/>
  <c r="N30" i="1"/>
  <c r="N31" i="1" s="1"/>
  <c r="J30" i="1"/>
  <c r="J31" i="1" s="1"/>
  <c r="F30" i="1"/>
  <c r="F31" i="1" s="1"/>
  <c r="I30" i="1"/>
  <c r="I31" i="1" s="1"/>
  <c r="L30" i="1"/>
  <c r="L31" i="1" s="1"/>
  <c r="H30" i="1"/>
  <c r="H31" i="1" s="1"/>
  <c r="M30" i="1"/>
  <c r="M31" i="1" s="1"/>
  <c r="E30" i="1"/>
  <c r="E31" i="1" s="1"/>
  <c r="K30" i="1"/>
  <c r="K31" i="1" s="1"/>
  <c r="G30" i="1"/>
  <c r="G31" i="1" s="1"/>
  <c r="D30" i="1"/>
  <c r="D31" i="1" s="1"/>
  <c r="U27" i="1" l="1"/>
  <c r="S27" i="1"/>
  <c r="R2" i="2" s="1"/>
  <c r="AO1" i="1"/>
  <c r="L39" i="1" s="1"/>
  <c r="L33" i="1" s="1"/>
  <c r="AM1" i="1"/>
  <c r="J39" i="1" s="1"/>
  <c r="J33" i="1" s="1"/>
  <c r="AJ1" i="1"/>
  <c r="G39" i="1" s="1"/>
  <c r="G32" i="1" s="1"/>
  <c r="AL1" i="1"/>
  <c r="I39" i="1" s="1"/>
  <c r="I33" i="1" s="1"/>
  <c r="AP1" i="1"/>
  <c r="M39" i="1" s="1"/>
  <c r="AN1" i="1"/>
  <c r="K39" i="1" s="1"/>
  <c r="K33" i="1" s="1"/>
  <c r="AI1" i="1"/>
  <c r="AQ1" i="1"/>
  <c r="N39" i="1" s="1"/>
  <c r="AK1" i="1"/>
  <c r="H39" i="1" s="1"/>
  <c r="H33" i="1" s="1"/>
  <c r="AH1" i="1"/>
  <c r="N36" i="1"/>
  <c r="F36" i="1"/>
  <c r="F34" i="1" s="1"/>
  <c r="G36" i="1"/>
  <c r="G35" i="1" s="1"/>
  <c r="T5" i="1"/>
  <c r="I36" i="1"/>
  <c r="I34" i="1" s="1"/>
  <c r="K36" i="1"/>
  <c r="G17" i="1"/>
  <c r="G18" i="1" s="1"/>
  <c r="M36" i="1"/>
  <c r="E36" i="1"/>
  <c r="D36" i="1"/>
  <c r="D23" i="1" s="1"/>
  <c r="E46" i="1" s="1"/>
  <c r="L36" i="1"/>
  <c r="J36" i="1"/>
  <c r="S31" i="1"/>
  <c r="S32" i="1"/>
  <c r="H36" i="1"/>
  <c r="E45" i="1"/>
  <c r="N17" i="1"/>
  <c r="N18" i="1" s="1"/>
  <c r="M17" i="1"/>
  <c r="M18" i="1" s="1"/>
  <c r="I17" i="1"/>
  <c r="I18" i="1" s="1"/>
  <c r="K17" i="1"/>
  <c r="K18" i="1" s="1"/>
  <c r="D17" i="1"/>
  <c r="D18" i="1" s="1"/>
  <c r="J17" i="1"/>
  <c r="J18" i="1" s="1"/>
  <c r="F17" i="1"/>
  <c r="F18" i="1" s="1"/>
  <c r="H17" i="1"/>
  <c r="H18" i="1" s="1"/>
  <c r="L17" i="1"/>
  <c r="L18" i="1" s="1"/>
  <c r="E17" i="1"/>
  <c r="E18" i="1" s="1"/>
  <c r="M26" i="1" l="1"/>
  <c r="M20" i="1" s="1"/>
  <c r="M32" i="1"/>
  <c r="L32" i="1"/>
  <c r="J32" i="1"/>
  <c r="K32" i="1"/>
  <c r="L26" i="1"/>
  <c r="L20" i="1" s="1"/>
  <c r="G23" i="1"/>
  <c r="E49" i="1" s="1"/>
  <c r="K26" i="1"/>
  <c r="K20" i="1" s="1"/>
  <c r="L38" i="1"/>
  <c r="G33" i="1"/>
  <c r="G34" i="1"/>
  <c r="H26" i="1"/>
  <c r="H20" i="1" s="1"/>
  <c r="K38" i="1"/>
  <c r="J26" i="1"/>
  <c r="J19" i="1" s="1"/>
  <c r="N33" i="1"/>
  <c r="G3" i="2"/>
  <c r="I26" i="1"/>
  <c r="I19" i="1" s="1"/>
  <c r="H32" i="1"/>
  <c r="I32" i="1"/>
  <c r="G38" i="1"/>
  <c r="M33" i="1"/>
  <c r="N26" i="1"/>
  <c r="N27" i="1" s="1"/>
  <c r="N32" i="1"/>
  <c r="N34" i="1"/>
  <c r="N35" i="1"/>
  <c r="F39" i="1" s="1"/>
  <c r="G26" i="1" s="1"/>
  <c r="N38" i="1"/>
  <c r="I38" i="1"/>
  <c r="D37" i="1"/>
  <c r="F35" i="1"/>
  <c r="D22" i="1"/>
  <c r="U5" i="1"/>
  <c r="G16" i="1"/>
  <c r="F37" i="1"/>
  <c r="D35" i="1"/>
  <c r="F23" i="1"/>
  <c r="E48" i="1" s="1"/>
  <c r="E37" i="1"/>
  <c r="E35" i="1"/>
  <c r="K35" i="1"/>
  <c r="J35" i="1"/>
  <c r="H35" i="1"/>
  <c r="I35" i="1"/>
  <c r="E34" i="1"/>
  <c r="L35" i="1"/>
  <c r="D39" i="1" s="1"/>
  <c r="K34" i="1"/>
  <c r="J34" i="1"/>
  <c r="M35" i="1"/>
  <c r="E39" i="1" s="1"/>
  <c r="E38" i="1" s="1"/>
  <c r="L34" i="1"/>
  <c r="H34" i="1"/>
  <c r="M34" i="1"/>
  <c r="N23" i="1"/>
  <c r="E56" i="1" s="1"/>
  <c r="D34" i="1"/>
  <c r="D53" i="1"/>
  <c r="D47" i="1"/>
  <c r="D50" i="1"/>
  <c r="D46" i="1"/>
  <c r="D21" i="1"/>
  <c r="D51" i="1"/>
  <c r="D48" i="1"/>
  <c r="D52" i="1"/>
  <c r="D49" i="1"/>
  <c r="D56" i="1"/>
  <c r="D55" i="1"/>
  <c r="D54" i="1"/>
  <c r="L23" i="1"/>
  <c r="E54" i="1" s="1"/>
  <c r="K23" i="1"/>
  <c r="E53" i="1" s="1"/>
  <c r="M23" i="1"/>
  <c r="E55" i="1" s="1"/>
  <c r="M38" i="1"/>
  <c r="J38" i="1"/>
  <c r="J23" i="1"/>
  <c r="E52" i="1" s="1"/>
  <c r="H23" i="1"/>
  <c r="E50" i="1" s="1"/>
  <c r="E23" i="1"/>
  <c r="E47" i="1" s="1"/>
  <c r="H38" i="1"/>
  <c r="I23" i="1"/>
  <c r="E51" i="1" s="1"/>
  <c r="F49" i="1"/>
  <c r="F53" i="1"/>
  <c r="F50" i="1"/>
  <c r="F51" i="1"/>
  <c r="F54" i="1"/>
  <c r="F56" i="1"/>
  <c r="F52" i="1"/>
  <c r="F55" i="1"/>
  <c r="D24" i="1"/>
  <c r="F3" i="2" l="1"/>
  <c r="H19" i="1"/>
  <c r="M19" i="1"/>
  <c r="J20" i="1"/>
  <c r="L19" i="1"/>
  <c r="N20" i="1"/>
  <c r="G21" i="1"/>
  <c r="G22" i="1"/>
  <c r="G24" i="1"/>
  <c r="G25" i="1"/>
  <c r="N19" i="1"/>
  <c r="F48" i="1"/>
  <c r="G27" i="1"/>
  <c r="F40" i="1"/>
  <c r="K19" i="1"/>
  <c r="I20" i="1"/>
  <c r="G19" i="1"/>
  <c r="G20" i="1"/>
  <c r="F33" i="1"/>
  <c r="F32" i="1"/>
  <c r="F38" i="1"/>
  <c r="F47" i="1"/>
  <c r="D26" i="1"/>
  <c r="D33" i="1"/>
  <c r="F46" i="1"/>
  <c r="D32" i="1"/>
  <c r="D40" i="1"/>
  <c r="D38" i="1"/>
  <c r="E40" i="1"/>
  <c r="E26" i="1"/>
  <c r="E33" i="1"/>
  <c r="E32" i="1"/>
  <c r="F26" i="1"/>
  <c r="F25" i="1" s="1"/>
  <c r="J22" i="1"/>
  <c r="E22" i="1"/>
  <c r="M22" i="1"/>
  <c r="G13" i="2" s="1"/>
  <c r="N22" i="1"/>
  <c r="H22" i="1"/>
  <c r="G8" i="2" s="1"/>
  <c r="L22" i="1"/>
  <c r="G12" i="2" s="1"/>
  <c r="K22" i="1"/>
  <c r="G11" i="2" s="1"/>
  <c r="F22" i="1"/>
  <c r="I22" i="1"/>
  <c r="G37" i="1"/>
  <c r="V5" i="1"/>
  <c r="G40" i="1"/>
  <c r="F24" i="1"/>
  <c r="N24" i="1"/>
  <c r="N21" i="1"/>
  <c r="F21" i="1"/>
  <c r="N25" i="1"/>
  <c r="L25" i="1"/>
  <c r="M25" i="1"/>
  <c r="K25" i="1"/>
  <c r="E21" i="1"/>
  <c r="J21" i="1"/>
  <c r="I21" i="1"/>
  <c r="H21" i="1"/>
  <c r="K21" i="1"/>
  <c r="L21" i="1"/>
  <c r="M21" i="1"/>
  <c r="J25" i="1"/>
  <c r="I25" i="1"/>
  <c r="E24" i="1"/>
  <c r="H25" i="1"/>
  <c r="D8" i="2" l="1"/>
  <c r="E8" i="2"/>
  <c r="E12" i="2"/>
  <c r="D12" i="2"/>
  <c r="E11" i="2"/>
  <c r="D11" i="2"/>
  <c r="E13" i="2"/>
  <c r="D13" i="2"/>
  <c r="G7" i="2"/>
  <c r="G14" i="2"/>
  <c r="G9" i="2"/>
  <c r="G10" i="2"/>
  <c r="F19" i="1"/>
  <c r="F20" i="1"/>
  <c r="G6" i="2" s="1"/>
  <c r="F27" i="1"/>
  <c r="E20" i="1"/>
  <c r="G5" i="2" s="1"/>
  <c r="E27" i="1"/>
  <c r="E19" i="1"/>
  <c r="E25" i="1"/>
  <c r="D27" i="1"/>
  <c r="D19" i="1"/>
  <c r="D25" i="1"/>
  <c r="D20" i="1"/>
  <c r="G4" i="2" s="1"/>
  <c r="H24" i="1"/>
  <c r="I16" i="1"/>
  <c r="I27" i="1"/>
  <c r="I24" i="1"/>
  <c r="H16" i="1"/>
  <c r="H27" i="1"/>
  <c r="W5" i="1"/>
  <c r="H37" i="1"/>
  <c r="H40" i="1"/>
  <c r="D5" i="2" l="1"/>
  <c r="E5" i="2"/>
  <c r="D9" i="2"/>
  <c r="E9" i="2"/>
  <c r="D10" i="2"/>
  <c r="E10" i="2"/>
  <c r="D4" i="2"/>
  <c r="E4" i="2"/>
  <c r="G15" i="2"/>
  <c r="D6" i="2"/>
  <c r="E6" i="2"/>
  <c r="D14" i="2"/>
  <c r="E14" i="2"/>
  <c r="D7" i="2"/>
  <c r="E7" i="2"/>
  <c r="J16" i="1"/>
  <c r="J27" i="1"/>
  <c r="J24" i="1"/>
  <c r="X5" i="1"/>
  <c r="I40" i="1"/>
  <c r="I37" i="1"/>
  <c r="B4" i="2" l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C15" i="2" s="1"/>
  <c r="K16" i="1"/>
  <c r="K27" i="1"/>
  <c r="K24" i="1"/>
  <c r="Y5" i="1"/>
  <c r="J37" i="1"/>
  <c r="J40" i="1"/>
  <c r="L16" i="1" l="1"/>
  <c r="L27" i="1"/>
  <c r="L24" i="1"/>
  <c r="Z5" i="1"/>
  <c r="K37" i="1"/>
  <c r="K40" i="1"/>
  <c r="M16" i="1" l="1"/>
  <c r="M27" i="1"/>
  <c r="M24" i="1"/>
  <c r="AA5" i="1"/>
  <c r="L40" i="1"/>
  <c r="L37" i="1"/>
  <c r="AB5" i="1" l="1"/>
  <c r="M37" i="1"/>
  <c r="M40" i="1"/>
  <c r="T31" i="1" l="1"/>
  <c r="N37" i="1"/>
  <c r="N40" i="1"/>
  <c r="T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Wim Gielis</author>
  </authors>
  <commentList>
    <comment ref="R3" authorId="0" shapeId="0" xr:uid="{C314FAD1-6434-4B5C-88C2-C0B588EC4852}">
      <text>
        <r>
          <rPr>
            <b/>
            <sz val="9"/>
            <color indexed="81"/>
            <rFont val="Tahoma"/>
            <family val="2"/>
          </rPr>
          <t>Wim Gielis:</t>
        </r>
        <r>
          <rPr>
            <sz val="9"/>
            <color indexed="81"/>
            <rFont val="Tahoma"/>
            <family val="2"/>
          </rPr>
          <t xml:space="preserve">
Adres: 
Omschrijving: 
Notitie: </t>
        </r>
      </text>
    </comment>
    <comment ref="S3" authorId="0" shapeId="0" xr:uid="{0CE66EA2-7321-41F1-80B4-AE34CA760C69}">
      <text>
        <r>
          <rPr>
            <b/>
            <sz val="9"/>
            <color indexed="81"/>
            <rFont val="Tahoma"/>
            <family val="2"/>
          </rPr>
          <t>Wim Gielis:</t>
        </r>
        <r>
          <rPr>
            <sz val="9"/>
            <color indexed="81"/>
            <rFont val="Tahoma"/>
            <family val="2"/>
          </rPr>
          <t xml:space="preserve">
Adres: 
Omschrijving: 
Notitie: </t>
        </r>
      </text>
    </comment>
    <comment ref="T3" authorId="0" shapeId="0" xr:uid="{8234DAF0-DD48-4B96-B2E4-4B1E08052938}">
      <text>
        <r>
          <rPr>
            <b/>
            <sz val="9"/>
            <color indexed="81"/>
            <rFont val="Tahoma"/>
            <family val="2"/>
          </rPr>
          <t>Wim Gielis:</t>
        </r>
        <r>
          <rPr>
            <sz val="9"/>
            <color indexed="81"/>
            <rFont val="Tahoma"/>
            <family val="2"/>
          </rPr>
          <t xml:space="preserve">
Adres: 
Omschrijving: 
Notitie: </t>
        </r>
      </text>
    </comment>
    <comment ref="U3" authorId="0" shapeId="0" xr:uid="{1A773474-CB3D-4ADC-9BB4-E320F1102944}">
      <text>
        <r>
          <rPr>
            <b/>
            <sz val="9"/>
            <color indexed="81"/>
            <rFont val="Tahoma"/>
            <family val="2"/>
          </rPr>
          <t>Wim Gielis:</t>
        </r>
        <r>
          <rPr>
            <sz val="9"/>
            <color indexed="81"/>
            <rFont val="Tahoma"/>
            <family val="2"/>
          </rPr>
          <t xml:space="preserve">
Adres: 
Omschrijving: 
Notitie: </t>
        </r>
      </text>
    </comment>
    <comment ref="V3" authorId="0" shapeId="0" xr:uid="{C0E07093-D61A-4FA7-8F21-410F137D1BBB}">
      <text>
        <r>
          <rPr>
            <b/>
            <sz val="9"/>
            <color indexed="81"/>
            <rFont val="Tahoma"/>
            <family val="2"/>
          </rPr>
          <t>Wim Gielis:</t>
        </r>
        <r>
          <rPr>
            <sz val="9"/>
            <color indexed="81"/>
            <rFont val="Tahoma"/>
            <family val="2"/>
          </rPr>
          <t xml:space="preserve">
Adres: 
Omschrijving: 
Notitie: </t>
        </r>
      </text>
    </comment>
    <comment ref="W3" authorId="0" shapeId="0" xr:uid="{CDB8D1E2-231C-4007-8978-678E9A9D6CDB}">
      <text>
        <r>
          <rPr>
            <b/>
            <sz val="9"/>
            <color indexed="81"/>
            <rFont val="Tahoma"/>
            <family val="2"/>
          </rPr>
          <t>Wim Gielis:</t>
        </r>
        <r>
          <rPr>
            <sz val="9"/>
            <color indexed="81"/>
            <rFont val="Tahoma"/>
            <family val="2"/>
          </rPr>
          <t xml:space="preserve">
Adres: 
Omschrijving: 
Notitie: </t>
        </r>
      </text>
    </comment>
    <comment ref="X3" authorId="0" shapeId="0" xr:uid="{2C678204-D53D-4C30-88D5-6FBD94DC2347}">
      <text>
        <r>
          <rPr>
            <b/>
            <sz val="9"/>
            <color indexed="81"/>
            <rFont val="Tahoma"/>
            <family val="2"/>
          </rPr>
          <t>Wim Gielis:</t>
        </r>
        <r>
          <rPr>
            <sz val="9"/>
            <color indexed="81"/>
            <rFont val="Tahoma"/>
            <family val="2"/>
          </rPr>
          <t xml:space="preserve">
Adres: 
Omschrijving: 
Notitie: </t>
        </r>
      </text>
    </comment>
    <comment ref="Y3" authorId="0" shapeId="0" xr:uid="{41A95FC0-B7AB-439D-9807-6BB61059BD29}">
      <text>
        <r>
          <rPr>
            <b/>
            <sz val="9"/>
            <color indexed="81"/>
            <rFont val="Tahoma"/>
            <family val="2"/>
          </rPr>
          <t>Wim Gielis:</t>
        </r>
        <r>
          <rPr>
            <sz val="9"/>
            <color indexed="81"/>
            <rFont val="Tahoma"/>
            <family val="2"/>
          </rPr>
          <t xml:space="preserve">
Adres: 
Omschrijving: 
Notitie: </t>
        </r>
      </text>
    </comment>
    <comment ref="Z3" authorId="0" shapeId="0" xr:uid="{8181DB5C-1223-464F-9B33-81CFFC606B04}">
      <text>
        <r>
          <rPr>
            <b/>
            <sz val="9"/>
            <color indexed="81"/>
            <rFont val="Tahoma"/>
            <family val="2"/>
          </rPr>
          <t>Wim Gielis:</t>
        </r>
        <r>
          <rPr>
            <sz val="9"/>
            <color indexed="81"/>
            <rFont val="Tahoma"/>
            <family val="2"/>
          </rPr>
          <t xml:space="preserve">
Adres: 
Omschrijving: 
Notitie: </t>
        </r>
      </text>
    </comment>
    <comment ref="AA3" authorId="0" shapeId="0" xr:uid="{AE253944-5870-4AF9-9D46-0450F89E6EEC}">
      <text>
        <r>
          <rPr>
            <b/>
            <sz val="9"/>
            <color indexed="81"/>
            <rFont val="Tahoma"/>
            <family val="2"/>
          </rPr>
          <t>Wim Gielis:</t>
        </r>
        <r>
          <rPr>
            <sz val="9"/>
            <color indexed="81"/>
            <rFont val="Tahoma"/>
            <family val="2"/>
          </rPr>
          <t xml:space="preserve">
Adres: 
Omschrijving: 
Notitie: </t>
        </r>
      </text>
    </comment>
    <comment ref="AB3" authorId="0" shapeId="0" xr:uid="{288E6A92-1248-4837-A1DC-DEA5971D5027}">
      <text>
        <r>
          <rPr>
            <b/>
            <sz val="9"/>
            <color indexed="81"/>
            <rFont val="Tahoma"/>
            <family val="2"/>
          </rPr>
          <t>Wim Gielis:</t>
        </r>
        <r>
          <rPr>
            <sz val="9"/>
            <color indexed="81"/>
            <rFont val="Tahoma"/>
            <family val="2"/>
          </rPr>
          <t xml:space="preserve">
Adres: 
Omschrijving: 
Notitie: </t>
        </r>
      </text>
    </comment>
  </commentList>
</comments>
</file>

<file path=xl/sharedStrings.xml><?xml version="1.0" encoding="utf-8"?>
<sst xmlns="http://schemas.openxmlformats.org/spreadsheetml/2006/main" count="160" uniqueCount="89">
  <si>
    <t>2'35</t>
  </si>
  <si>
    <t>4'27</t>
  </si>
  <si>
    <t>6'40</t>
  </si>
  <si>
    <t>7'40</t>
  </si>
  <si>
    <t>15'37</t>
  </si>
  <si>
    <t>17'50</t>
  </si>
  <si>
    <t>23'51</t>
  </si>
  <si>
    <t>36'29</t>
  </si>
  <si>
    <t>37'49</t>
  </si>
  <si>
    <t>39'11</t>
  </si>
  <si>
    <t>1'04</t>
  </si>
  <si>
    <t>INPUT</t>
  </si>
  <si>
    <t>ANALYSE</t>
  </si>
  <si>
    <t>cumulatief tot aan punt</t>
  </si>
  <si>
    <t>afstand</t>
  </si>
  <si>
    <t>afstand cumul</t>
  </si>
  <si>
    <t>km</t>
  </si>
  <si>
    <t>omschrijving</t>
  </si>
  <si>
    <t>interval</t>
  </si>
  <si>
    <t>tijd</t>
  </si>
  <si>
    <t>gemiddelde snelheid</t>
  </si>
  <si>
    <t>gemiddelde van runs</t>
  </si>
  <si>
    <t>vgl. gemiddelde</t>
  </si>
  <si>
    <t>vorige</t>
  </si>
  <si>
    <t>sec</t>
  </si>
  <si>
    <t>km/u</t>
  </si>
  <si>
    <t>%</t>
  </si>
  <si>
    <t>Aantal runs</t>
  </si>
  <si>
    <t>Kies uw run</t>
  </si>
  <si>
    <t>Vorige run</t>
  </si>
  <si>
    <t>gekozen run</t>
  </si>
  <si>
    <t>TUSSENBEREKENINGEN</t>
  </si>
  <si>
    <t>dagen sinds de laatste run</t>
  </si>
  <si>
    <t>bron</t>
  </si>
  <si>
    <t>http://www.afstandmeten.nl</t>
  </si>
  <si>
    <t>beste run</t>
  </si>
  <si>
    <t>slechtste run</t>
  </si>
  <si>
    <t>Gemidd</t>
  </si>
  <si>
    <t>Opmerking</t>
  </si>
  <si>
    <t>1'05</t>
  </si>
  <si>
    <t>4'26</t>
  </si>
  <si>
    <t>6'39</t>
  </si>
  <si>
    <t>7'34</t>
  </si>
  <si>
    <t>15'28</t>
  </si>
  <si>
    <t>17'33</t>
  </si>
  <si>
    <t>23'17</t>
  </si>
  <si>
    <t>34'54</t>
  </si>
  <si>
    <t>37'13</t>
  </si>
  <si>
    <t>PARAMETERS</t>
  </si>
  <si>
    <t>cumulatief</t>
  </si>
  <si>
    <t>vgl. vorige</t>
  </si>
  <si>
    <t>36'03</t>
  </si>
  <si>
    <t>gekozen run in gemiddelde</t>
  </si>
  <si>
    <t>Start</t>
  </si>
  <si>
    <t>https://www.contextures.com/excelwaterfallchart.html</t>
  </si>
  <si>
    <t>Evolutie in tijden</t>
  </si>
  <si>
    <t>Tijd</t>
  </si>
  <si>
    <t>Run</t>
  </si>
  <si>
    <t>Volledige run</t>
  </si>
  <si>
    <t>0'58</t>
  </si>
  <si>
    <t>2'19</t>
  </si>
  <si>
    <t>3'58</t>
  </si>
  <si>
    <t>6'02</t>
  </si>
  <si>
    <t>6'55</t>
  </si>
  <si>
    <t>14'32</t>
  </si>
  <si>
    <t>16'36</t>
  </si>
  <si>
    <t>22'26</t>
  </si>
  <si>
    <t>34'25</t>
  </si>
  <si>
    <t>35'42</t>
  </si>
  <si>
    <t>36'52</t>
  </si>
  <si>
    <t>Einde</t>
  </si>
  <si>
    <t>Basis</t>
  </si>
  <si>
    <t>Trager</t>
  </si>
  <si>
    <t>Sneller</t>
  </si>
  <si>
    <t>tov vorige</t>
  </si>
  <si>
    <t>in sec</t>
  </si>
  <si>
    <t>tekst</t>
  </si>
  <si>
    <t>Datum en tussentijden</t>
  </si>
  <si>
    <t>punt 1</t>
  </si>
  <si>
    <t>punt 2</t>
  </si>
  <si>
    <t>punt 3</t>
  </si>
  <si>
    <t>punt 4</t>
  </si>
  <si>
    <t>punt 5</t>
  </si>
  <si>
    <t>punt 6</t>
  </si>
  <si>
    <t>punt 7</t>
  </si>
  <si>
    <t>punt 8</t>
  </si>
  <si>
    <t>punt 9</t>
  </si>
  <si>
    <t>punt 10</t>
  </si>
  <si>
    <t>aankomst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</si>
</sst>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d\ d/mm/yyyy"/>
    <numFmt numFmtId="165" formatCode="0.0"/>
    <numFmt numFmtId="166" formatCode="ddd\ d/m"/>
    <numFmt numFmtId="167" formatCode="0.0&quot; km/u&quot;"/>
    <numFmt numFmtId="168" formatCode="[$-409]mmm\-yy;@"/>
    <numFmt numFmtId="169" formatCode="#,##0;;;"/>
  </numFmts>
  <fonts count="15" x14ac:knownFonts="1">
    <font>
      <sz val="9"/>
      <color theme="1"/>
      <name val="Segoe UI"/>
      <family val="2"/>
    </font>
    <font>
      <sz val="9"/>
      <color theme="1"/>
      <name val="Segoe UI"/>
      <family val="2"/>
    </font>
    <font>
      <sz val="9"/>
      <color rgb="FF3F3F76"/>
      <name val="Segoe UI"/>
      <family val="2"/>
    </font>
    <font>
      <sz val="9"/>
      <color rgb="FFFF0000"/>
      <name val="Segoe UI"/>
      <family val="2"/>
    </font>
    <font>
      <b/>
      <sz val="9"/>
      <color theme="1"/>
      <name val="Segoe UI"/>
      <family val="2"/>
    </font>
    <font>
      <i/>
      <sz val="9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color theme="0"/>
      <name val="Calibri"/>
      <family val="2"/>
      <scheme val="minor"/>
    </font>
    <font>
      <sz val="9"/>
      <color theme="0"/>
      <name val="Segoe UI"/>
      <family val="2"/>
    </font>
    <font>
      <i/>
      <sz val="9"/>
      <color rgb="FF3F3F76"/>
      <name val="Segoe UI"/>
      <family val="2"/>
    </font>
    <font>
      <sz val="8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/>
    <xf numFmtId="0" fontId="4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2" fillId="2" borderId="1" xfId="2"/>
    <xf numFmtId="0" fontId="2" fillId="2" borderId="1" xfId="2" applyAlignment="1">
      <alignment horizontal="center"/>
    </xf>
    <xf numFmtId="0" fontId="5" fillId="0" borderId="0" xfId="0" applyFont="1"/>
    <xf numFmtId="0" fontId="0" fillId="0" borderId="0" xfId="0" applyFont="1"/>
    <xf numFmtId="0" fontId="5" fillId="0" borderId="0" xfId="0" applyFont="1" applyAlignment="1">
      <alignment horizontal="left"/>
    </xf>
    <xf numFmtId="165" fontId="0" fillId="0" borderId="0" xfId="0" applyNumberFormat="1"/>
    <xf numFmtId="9" fontId="0" fillId="0" borderId="0" xfId="1" applyFont="1"/>
    <xf numFmtId="9" fontId="3" fillId="0" borderId="0" xfId="1" applyFont="1"/>
    <xf numFmtId="3" fontId="0" fillId="0" borderId="0" xfId="0" applyNumberFormat="1"/>
    <xf numFmtId="3" fontId="0" fillId="0" borderId="0" xfId="0" applyNumberFormat="1" applyFont="1"/>
    <xf numFmtId="3" fontId="4" fillId="0" borderId="0" xfId="0" applyNumberFormat="1" applyFont="1"/>
    <xf numFmtId="166" fontId="0" fillId="0" borderId="0" xfId="0" applyNumberFormat="1" applyAlignment="1">
      <alignment horizontal="left"/>
    </xf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0" fillId="0" borderId="3" xfId="0" applyBorder="1"/>
    <xf numFmtId="165" fontId="0" fillId="0" borderId="0" xfId="0" applyNumberFormat="1" applyFont="1"/>
    <xf numFmtId="165" fontId="4" fillId="0" borderId="0" xfId="0" applyNumberFormat="1" applyFont="1"/>
    <xf numFmtId="167" fontId="0" fillId="0" borderId="0" xfId="0" applyNumberFormat="1" applyAlignment="1">
      <alignment horizontal="left"/>
    </xf>
    <xf numFmtId="0" fontId="0" fillId="0" borderId="4" xfId="0" applyBorder="1"/>
    <xf numFmtId="0" fontId="0" fillId="0" borderId="2" xfId="0" applyBorder="1"/>
    <xf numFmtId="9" fontId="3" fillId="4" borderId="0" xfId="1" applyFont="1" applyFill="1"/>
    <xf numFmtId="1" fontId="3" fillId="0" borderId="0" xfId="0" applyNumberFormat="1" applyFont="1"/>
    <xf numFmtId="1" fontId="0" fillId="0" borderId="0" xfId="0" applyNumberFormat="1"/>
    <xf numFmtId="1" fontId="3" fillId="4" borderId="0" xfId="1" applyNumberFormat="1" applyFont="1" applyFill="1"/>
    <xf numFmtId="1" fontId="3" fillId="0" borderId="0" xfId="1" applyNumberFormat="1" applyFont="1"/>
    <xf numFmtId="0" fontId="7" fillId="0" borderId="0" xfId="3" applyFont="1" applyAlignment="1">
      <alignment horizontal="center"/>
    </xf>
    <xf numFmtId="0" fontId="7" fillId="0" borderId="0" xfId="3" applyFont="1" applyAlignment="1">
      <alignment horizontal="center" wrapText="1"/>
    </xf>
    <xf numFmtId="0" fontId="6" fillId="0" borderId="0" xfId="3"/>
    <xf numFmtId="3" fontId="6" fillId="0" borderId="0" xfId="3" applyNumberFormat="1"/>
    <xf numFmtId="3" fontId="6" fillId="5" borderId="0" xfId="3" applyNumberFormat="1" applyFill="1"/>
    <xf numFmtId="3" fontId="6" fillId="6" borderId="8" xfId="3" applyNumberFormat="1" applyFill="1" applyBorder="1"/>
    <xf numFmtId="3" fontId="6" fillId="7" borderId="0" xfId="3" applyNumberFormat="1" applyFill="1"/>
    <xf numFmtId="168" fontId="6" fillId="0" borderId="0" xfId="3" applyNumberFormat="1"/>
    <xf numFmtId="0" fontId="8" fillId="0" borderId="0" xfId="4" applyAlignment="1" applyProtection="1"/>
    <xf numFmtId="0" fontId="6" fillId="0" borderId="0" xfId="3" quotePrefix="1"/>
    <xf numFmtId="3" fontId="6" fillId="8" borderId="0" xfId="3" quotePrefix="1" applyNumberFormat="1" applyFill="1"/>
    <xf numFmtId="3" fontId="6" fillId="9" borderId="0" xfId="3" quotePrefix="1" applyNumberFormat="1" applyFill="1"/>
    <xf numFmtId="0" fontId="9" fillId="0" borderId="0" xfId="3" applyFont="1"/>
    <xf numFmtId="14" fontId="0" fillId="0" borderId="0" xfId="0" applyNumberFormat="1"/>
    <xf numFmtId="0" fontId="2" fillId="2" borderId="1" xfId="2" applyAlignment="1">
      <alignment horizontal="center"/>
    </xf>
    <xf numFmtId="166" fontId="2" fillId="2" borderId="1" xfId="2" applyNumberFormat="1"/>
    <xf numFmtId="0" fontId="11" fillId="2" borderId="1" xfId="2" applyFont="1" applyAlignment="1">
      <alignment horizontal="left"/>
    </xf>
    <xf numFmtId="0" fontId="10" fillId="0" borderId="0" xfId="0" applyFont="1"/>
    <xf numFmtId="169" fontId="0" fillId="0" borderId="0" xfId="0" applyNumberFormat="1" applyFont="1" applyAlignment="1">
      <alignment horizontal="center"/>
    </xf>
    <xf numFmtId="0" fontId="2" fillId="2" borderId="1" xfId="2" applyAlignment="1">
      <alignment horizontal="center"/>
    </xf>
    <xf numFmtId="0" fontId="2" fillId="2" borderId="5" xfId="2" applyBorder="1" applyAlignment="1">
      <alignment horizontal="center"/>
    </xf>
    <xf numFmtId="0" fontId="2" fillId="2" borderId="6" xfId="2" applyBorder="1" applyAlignment="1">
      <alignment horizontal="center"/>
    </xf>
    <xf numFmtId="0" fontId="2" fillId="2" borderId="7" xfId="2" applyBorder="1" applyAlignment="1">
      <alignment horizontal="center"/>
    </xf>
  </cellXfs>
  <cellStyles count="5">
    <cellStyle name="Hyperlink" xfId="4" builtinId="8"/>
    <cellStyle name="Input" xfId="2" builtinId="20"/>
    <cellStyle name="Normal" xfId="0" builtinId="0"/>
    <cellStyle name="Normal 2" xfId="3" xr:uid="{06D5F7B0-97C9-495D-9E9F-716C980910F5}"/>
    <cellStyle name="Percent" xfId="1" builtinId="5"/>
  </cellStyles>
  <dxfs count="1">
    <dxf>
      <font>
        <b/>
        <i val="0"/>
        <color theme="9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Data!$B$45</c:f>
          <c:strCache>
            <c:ptCount val="1"/>
            <c:pt idx="0">
              <c:v>Vergelijking per tussenpunt, cumulatief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Data!$D$45</c:f>
              <c:strCache>
                <c:ptCount val="1"/>
                <c:pt idx="0">
                  <c:v>Run 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Data!$C$46:$C$56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Data!$D$46:$D$56</c:f>
              <c:numCache>
                <c:formatCode>#,##0</c:formatCode>
                <c:ptCount val="11"/>
                <c:pt idx="0">
                  <c:v>58</c:v>
                </c:pt>
                <c:pt idx="1">
                  <c:v>139</c:v>
                </c:pt>
                <c:pt idx="2">
                  <c:v>238</c:v>
                </c:pt>
                <c:pt idx="3">
                  <c:v>362</c:v>
                </c:pt>
                <c:pt idx="4">
                  <c:v>415</c:v>
                </c:pt>
                <c:pt idx="5">
                  <c:v>872</c:v>
                </c:pt>
                <c:pt idx="6">
                  <c:v>996</c:v>
                </c:pt>
                <c:pt idx="7">
                  <c:v>1346</c:v>
                </c:pt>
                <c:pt idx="8">
                  <c:v>2065</c:v>
                </c:pt>
                <c:pt idx="9">
                  <c:v>2142</c:v>
                </c:pt>
                <c:pt idx="10">
                  <c:v>2212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0-4B01-BD03-961E18740431}"/>
            </c:ext>
          </c:extLst>
        </c:ser>
        <c:ser>
          <c:idx val="1"/>
          <c:order val="1"/>
          <c:tx>
            <c:strRef>
              <c:f>Data!$E$45</c:f>
              <c:strCache>
                <c:ptCount val="1"/>
                <c:pt idx="0">
                  <c:v>Run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Data!$C$46:$C$56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Data!$E$46:$E$56</c:f>
              <c:numCache>
                <c:formatCode>#,##0</c:formatCode>
                <c:ptCount val="11"/>
                <c:pt idx="0">
                  <c:v>65</c:v>
                </c:pt>
                <c:pt idx="1">
                  <c:v>155</c:v>
                </c:pt>
                <c:pt idx="2">
                  <c:v>266</c:v>
                </c:pt>
                <c:pt idx="3">
                  <c:v>399</c:v>
                </c:pt>
                <c:pt idx="4">
                  <c:v>454</c:v>
                </c:pt>
                <c:pt idx="5">
                  <c:v>928</c:v>
                </c:pt>
                <c:pt idx="6">
                  <c:v>1053</c:v>
                </c:pt>
                <c:pt idx="7">
                  <c:v>1397</c:v>
                </c:pt>
                <c:pt idx="8">
                  <c:v>2094</c:v>
                </c:pt>
                <c:pt idx="9">
                  <c:v>2163</c:v>
                </c:pt>
                <c:pt idx="10">
                  <c:v>2233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E0-4B01-BD03-961E18740431}"/>
            </c:ext>
          </c:extLst>
        </c:ser>
        <c:ser>
          <c:idx val="2"/>
          <c:order val="2"/>
          <c:tx>
            <c:strRef>
              <c:f>Data!$F$45</c:f>
              <c:strCache>
                <c:ptCount val="1"/>
                <c:pt idx="0">
                  <c:v>Gemidd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Data!$C$46:$C$56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Data!$F$46:$F$56</c:f>
              <c:numCache>
                <c:formatCode>#,##0</c:formatCode>
                <c:ptCount val="11"/>
                <c:pt idx="0">
                  <c:v>62.333333333333336</c:v>
                </c:pt>
                <c:pt idx="1">
                  <c:v>149.66666666666666</c:v>
                </c:pt>
                <c:pt idx="2">
                  <c:v>257</c:v>
                </c:pt>
                <c:pt idx="3">
                  <c:v>387</c:v>
                </c:pt>
                <c:pt idx="4">
                  <c:v>443</c:v>
                </c:pt>
                <c:pt idx="5">
                  <c:v>912.33333333333337</c:v>
                </c:pt>
                <c:pt idx="6">
                  <c:v>1039.6666666666667</c:v>
                </c:pt>
                <c:pt idx="7">
                  <c:v>1391.3333333333333</c:v>
                </c:pt>
                <c:pt idx="8">
                  <c:v>2116</c:v>
                </c:pt>
                <c:pt idx="9">
                  <c:v>2191.3333333333335</c:v>
                </c:pt>
                <c:pt idx="10">
                  <c:v>2265.3333333333335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E0-4B01-BD03-961E18740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2776192"/>
        <c:axId val="1012768976"/>
      </c:barChart>
      <c:catAx>
        <c:axId val="101277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012768976"/>
        <c:crosses val="autoZero"/>
        <c:auto val="1"/>
        <c:lblAlgn val="ctr"/>
        <c:lblOffset val="100"/>
        <c:noMultiLvlLbl val="0"/>
      </c:catAx>
      <c:valAx>
        <c:axId val="101276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01277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Waterval!$R$2</c:f>
          <c:strCache>
            <c:ptCount val="1"/>
            <c:pt idx="0">
              <c:v>Vergelijking van run 3 (22/07) tov run 2 (17/07) - in sec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Waterval!$B$1</c:f>
              <c:strCache>
                <c:ptCount val="1"/>
                <c:pt idx="0">
                  <c:v>Basis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Waterval!$A$2:$A$16</c:f>
              <c:strCache>
                <c:ptCount val="14"/>
                <c:pt idx="0">
                  <c:v> </c:v>
                </c:pt>
                <c:pt idx="1">
                  <c:v>Start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Einde</c:v>
                </c:pt>
              </c:strCache>
            </c:strRef>
          </c:cat>
          <c:val>
            <c:numRef>
              <c:f>Waterval!$B$2:$B$16</c:f>
              <c:numCache>
                <c:formatCode>#,##0</c:formatCode>
                <c:ptCount val="15"/>
                <c:pt idx="0" formatCode="General">
                  <c:v>0</c:v>
                </c:pt>
                <c:pt idx="2">
                  <c:v>2226</c:v>
                </c:pt>
                <c:pt idx="3">
                  <c:v>2217</c:v>
                </c:pt>
                <c:pt idx="4">
                  <c:v>2205</c:v>
                </c:pt>
                <c:pt idx="5">
                  <c:v>2196</c:v>
                </c:pt>
                <c:pt idx="6">
                  <c:v>2194</c:v>
                </c:pt>
                <c:pt idx="7">
                  <c:v>2177</c:v>
                </c:pt>
                <c:pt idx="8">
                  <c:v>2176</c:v>
                </c:pt>
                <c:pt idx="9">
                  <c:v>2182</c:v>
                </c:pt>
                <c:pt idx="10">
                  <c:v>2204</c:v>
                </c:pt>
                <c:pt idx="11">
                  <c:v>2212</c:v>
                </c:pt>
                <c:pt idx="12">
                  <c:v>2212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01-4932-BC73-6EB4C3A16551}"/>
            </c:ext>
          </c:extLst>
        </c:ser>
        <c:ser>
          <c:idx val="1"/>
          <c:order val="1"/>
          <c:tx>
            <c:strRef>
              <c:f>Waterval!$C$1</c:f>
              <c:strCache>
                <c:ptCount val="1"/>
                <c:pt idx="0">
                  <c:v>Einde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Waterval!$A$2:$A$16</c:f>
              <c:strCache>
                <c:ptCount val="14"/>
                <c:pt idx="0">
                  <c:v> </c:v>
                </c:pt>
                <c:pt idx="1">
                  <c:v>Start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Einde</c:v>
                </c:pt>
              </c:strCache>
            </c:strRef>
          </c:cat>
          <c:val>
            <c:numRef>
              <c:f>Waterval!$C$2:$C$16</c:f>
              <c:numCache>
                <c:formatCode>#,##0</c:formatCode>
                <c:ptCount val="15"/>
                <c:pt idx="13">
                  <c:v>2212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01-4932-BC73-6EB4C3A16551}"/>
            </c:ext>
          </c:extLst>
        </c:ser>
        <c:ser>
          <c:idx val="2"/>
          <c:order val="2"/>
          <c:tx>
            <c:strRef>
              <c:f>Waterval!$D$1</c:f>
              <c:strCache>
                <c:ptCount val="1"/>
                <c:pt idx="0">
                  <c:v>Trager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Waterval!$A$2:$A$16</c:f>
              <c:strCache>
                <c:ptCount val="14"/>
                <c:pt idx="0">
                  <c:v> </c:v>
                </c:pt>
                <c:pt idx="1">
                  <c:v>Start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Einde</c:v>
                </c:pt>
              </c:strCache>
            </c:strRef>
          </c:cat>
          <c:val>
            <c:numRef>
              <c:f>Waterval!$D$2:$D$16</c:f>
              <c:numCache>
                <c:formatCode>#,##0</c:formatCode>
                <c:ptCount val="15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6</c:v>
                </c:pt>
                <c:pt idx="10">
                  <c:v>22</c:v>
                </c:pt>
                <c:pt idx="11">
                  <c:v>8</c:v>
                </c:pt>
                <c:pt idx="12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01-4932-BC73-6EB4C3A16551}"/>
            </c:ext>
          </c:extLst>
        </c:ser>
        <c:ser>
          <c:idx val="3"/>
          <c:order val="3"/>
          <c:tx>
            <c:strRef>
              <c:f>Waterval!$E$1</c:f>
              <c:strCache>
                <c:ptCount val="1"/>
                <c:pt idx="0">
                  <c:v>Sneller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Waterval!$A$2:$A$16</c:f>
              <c:strCache>
                <c:ptCount val="14"/>
                <c:pt idx="0">
                  <c:v> </c:v>
                </c:pt>
                <c:pt idx="1">
                  <c:v>Start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Einde</c:v>
                </c:pt>
              </c:strCache>
            </c:strRef>
          </c:cat>
          <c:val>
            <c:numRef>
              <c:f>Waterval!$E$2:$E$16</c:f>
              <c:numCache>
                <c:formatCode>#,##0</c:formatCode>
                <c:ptCount val="15"/>
                <c:pt idx="2">
                  <c:v>7</c:v>
                </c:pt>
                <c:pt idx="3">
                  <c:v>9</c:v>
                </c:pt>
                <c:pt idx="4">
                  <c:v>12</c:v>
                </c:pt>
                <c:pt idx="5">
                  <c:v>9</c:v>
                </c:pt>
                <c:pt idx="6">
                  <c:v>2</c:v>
                </c:pt>
                <c:pt idx="7">
                  <c:v>17</c:v>
                </c:pt>
                <c:pt idx="8">
                  <c:v>1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01-4932-BC73-6EB4C3A16551}"/>
            </c:ext>
          </c:extLst>
        </c:ser>
        <c:ser>
          <c:idx val="4"/>
          <c:order val="4"/>
          <c:tx>
            <c:strRef>
              <c:f>Waterval!$F$1</c:f>
              <c:strCache>
                <c:ptCount val="1"/>
                <c:pt idx="0">
                  <c:v>Start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6201-4932-BC73-6EB4C3A1655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Waterval!$A$2:$A$16</c:f>
              <c:strCache>
                <c:ptCount val="14"/>
                <c:pt idx="0">
                  <c:v> </c:v>
                </c:pt>
                <c:pt idx="1">
                  <c:v>Start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Einde</c:v>
                </c:pt>
              </c:strCache>
            </c:strRef>
          </c:cat>
          <c:val>
            <c:numRef>
              <c:f>Waterval!$F$2:$F$16</c:f>
              <c:numCache>
                <c:formatCode>#,##0</c:formatCode>
                <c:ptCount val="15"/>
                <c:pt idx="1">
                  <c:v>2233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01-4932-BC73-6EB4C3A16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759191888"/>
        <c:axId val="759188360"/>
      </c:barChart>
      <c:catAx>
        <c:axId val="75919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59188360"/>
        <c:crosses val="autoZero"/>
        <c:auto val="1"/>
        <c:lblAlgn val="ctr"/>
        <c:lblOffset val="100"/>
        <c:noMultiLvlLbl val="0"/>
      </c:catAx>
      <c:valAx>
        <c:axId val="759188360"/>
        <c:scaling>
          <c:orientation val="minMax"/>
        </c:scaling>
        <c:delete val="0"/>
        <c:axPos val="l"/>
        <c:majorGridlines>
          <c:spPr>
            <a:ln w="12700"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759191888"/>
        <c:crosses val="autoZero"/>
        <c:crossBetween val="between"/>
      </c:valAx>
    </c:plotArea>
    <c:plotVisOnly val="0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44</xdr:row>
      <xdr:rowOff>0</xdr:rowOff>
    </xdr:from>
    <xdr:to>
      <xdr:col>18</xdr:col>
      <xdr:colOff>0</xdr:colOff>
      <xdr:row>62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F77F2E-44C5-488E-807B-047AF7ED90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186690</xdr:rowOff>
    </xdr:from>
    <xdr:to>
      <xdr:col>28</xdr:col>
      <xdr:colOff>179069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267DDC-D13F-4BAB-BC38-D0C31F608C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3ACF9-F03F-49C4-864E-06560CF7827A}">
  <sheetPr codeName="Sheet1"/>
  <dimension ref="A1:AR56"/>
  <sheetViews>
    <sheetView showGridLines="0" showRowColHeaders="0" tabSelected="1" workbookViewId="0"/>
  </sheetViews>
  <sheetFormatPr defaultRowHeight="12" x14ac:dyDescent="0.2"/>
  <cols>
    <col min="1" max="1" width="20.5" bestFit="1" customWidth="1"/>
    <col min="2" max="2" width="13" customWidth="1"/>
    <col min="3" max="3" width="23" customWidth="1"/>
    <col min="17" max="17" width="14" bestFit="1" customWidth="1"/>
    <col min="19" max="19" width="10.83203125" bestFit="1" customWidth="1"/>
    <col min="20" max="20" width="10" bestFit="1" customWidth="1"/>
    <col min="31" max="31" width="6" customWidth="1"/>
    <col min="32" max="32" width="23" customWidth="1"/>
  </cols>
  <sheetData>
    <row r="1" spans="1:44" x14ac:dyDescent="0.2">
      <c r="AF1" t="s">
        <v>18</v>
      </c>
      <c r="AG1" s="15">
        <f t="shared" ref="AG1:AQ1" si="0">AVERAGEIF($AE$3:$AE$12, "&lt;&gt;" &amp; $T$35, AG3:AG12)</f>
        <v>62.333333333333336</v>
      </c>
      <c r="AH1" s="15">
        <f t="shared" si="0"/>
        <v>149.66666666666666</v>
      </c>
      <c r="AI1" s="15">
        <f t="shared" si="0"/>
        <v>257</v>
      </c>
      <c r="AJ1" s="15">
        <f t="shared" si="0"/>
        <v>387</v>
      </c>
      <c r="AK1" s="15">
        <f t="shared" si="0"/>
        <v>443</v>
      </c>
      <c r="AL1" s="15">
        <f t="shared" si="0"/>
        <v>912.33333333333337</v>
      </c>
      <c r="AM1" s="15">
        <f t="shared" si="0"/>
        <v>1039.6666666666667</v>
      </c>
      <c r="AN1" s="15">
        <f t="shared" si="0"/>
        <v>1391.3333333333333</v>
      </c>
      <c r="AO1" s="15">
        <f t="shared" si="0"/>
        <v>2116</v>
      </c>
      <c r="AP1" s="15">
        <f t="shared" si="0"/>
        <v>2191.3333333333335</v>
      </c>
      <c r="AQ1" s="15">
        <f t="shared" si="0"/>
        <v>2265.3333333333335</v>
      </c>
    </row>
    <row r="2" spans="1:44" x14ac:dyDescent="0.2">
      <c r="A2" t="s">
        <v>77</v>
      </c>
      <c r="C2" s="5" t="s">
        <v>11</v>
      </c>
      <c r="D2" s="19">
        <v>1</v>
      </c>
      <c r="E2" s="19">
        <v>2</v>
      </c>
      <c r="F2" s="19">
        <v>3</v>
      </c>
      <c r="G2" s="19">
        <v>4</v>
      </c>
      <c r="H2" s="19">
        <v>5</v>
      </c>
      <c r="I2" s="19">
        <v>6</v>
      </c>
      <c r="J2" s="19">
        <v>7</v>
      </c>
      <c r="K2" s="19">
        <v>8</v>
      </c>
      <c r="L2" s="19">
        <v>9</v>
      </c>
      <c r="M2" s="19">
        <v>10</v>
      </c>
      <c r="N2" s="19">
        <v>11</v>
      </c>
      <c r="O2" s="20" t="s">
        <v>38</v>
      </c>
      <c r="Q2" s="5" t="s">
        <v>48</v>
      </c>
      <c r="R2" s="3">
        <v>1</v>
      </c>
      <c r="S2" s="3">
        <v>2</v>
      </c>
      <c r="T2" s="3">
        <v>3</v>
      </c>
      <c r="U2" s="3">
        <v>4</v>
      </c>
      <c r="V2" s="3">
        <v>5</v>
      </c>
      <c r="W2" s="3">
        <v>6</v>
      </c>
      <c r="X2" s="3">
        <v>7</v>
      </c>
      <c r="Y2" s="3">
        <v>8</v>
      </c>
      <c r="Z2" s="3">
        <v>9</v>
      </c>
      <c r="AA2" s="3">
        <v>10</v>
      </c>
      <c r="AB2" s="3">
        <v>11</v>
      </c>
      <c r="AF2" s="5" t="s">
        <v>31</v>
      </c>
      <c r="AG2" s="3">
        <v>1</v>
      </c>
      <c r="AH2" s="3">
        <v>2</v>
      </c>
      <c r="AI2" s="3">
        <v>3</v>
      </c>
      <c r="AJ2" s="3">
        <v>4</v>
      </c>
      <c r="AK2" s="3">
        <v>5</v>
      </c>
      <c r="AL2" s="3">
        <v>6</v>
      </c>
      <c r="AM2" s="3">
        <v>7</v>
      </c>
      <c r="AN2" s="3">
        <v>8</v>
      </c>
      <c r="AO2" s="3">
        <v>9</v>
      </c>
      <c r="AP2" s="3">
        <v>10</v>
      </c>
      <c r="AQ2" s="3">
        <v>11</v>
      </c>
    </row>
    <row r="3" spans="1:44" x14ac:dyDescent="0.2">
      <c r="B3" s="4">
        <v>1</v>
      </c>
      <c r="C3" s="47">
        <v>43659</v>
      </c>
      <c r="D3" s="46" t="s">
        <v>10</v>
      </c>
      <c r="E3" s="46" t="s">
        <v>0</v>
      </c>
      <c r="F3" s="46" t="s">
        <v>1</v>
      </c>
      <c r="G3" s="46" t="s">
        <v>2</v>
      </c>
      <c r="H3" s="46" t="s">
        <v>3</v>
      </c>
      <c r="I3" s="46" t="s">
        <v>4</v>
      </c>
      <c r="J3" s="46" t="s">
        <v>5</v>
      </c>
      <c r="K3" s="46" t="s">
        <v>6</v>
      </c>
      <c r="L3" s="46" t="s">
        <v>7</v>
      </c>
      <c r="M3" s="46" t="s">
        <v>8</v>
      </c>
      <c r="N3" s="46" t="s">
        <v>9</v>
      </c>
      <c r="O3" s="48" t="s">
        <v>76</v>
      </c>
      <c r="Q3" s="6" t="s">
        <v>17</v>
      </c>
      <c r="R3" s="1" t="s">
        <v>78</v>
      </c>
      <c r="S3" s="1" t="s">
        <v>79</v>
      </c>
      <c r="T3" s="1" t="s">
        <v>80</v>
      </c>
      <c r="U3" s="1" t="s">
        <v>81</v>
      </c>
      <c r="V3" s="1" t="s">
        <v>82</v>
      </c>
      <c r="W3" s="1" t="s">
        <v>83</v>
      </c>
      <c r="X3" s="1" t="s">
        <v>84</v>
      </c>
      <c r="Y3" s="1" t="s">
        <v>85</v>
      </c>
      <c r="Z3" s="1" t="s">
        <v>86</v>
      </c>
      <c r="AA3" s="1" t="s">
        <v>87</v>
      </c>
      <c r="AB3" t="s">
        <v>88</v>
      </c>
      <c r="AE3" s="4">
        <v>1</v>
      </c>
      <c r="AF3" s="2">
        <f>IF( $C3="", "", $C3 )</f>
        <v>43659</v>
      </c>
      <c r="AG3" s="15">
        <f t="shared" ref="AG3:AG12" si="1">IF( $C3="", "", IF( D3="", 0, 60*LEFT(D3, FIND("'", D3)-1) + RIGHT( D3, 2)))</f>
        <v>64</v>
      </c>
      <c r="AH3" s="15">
        <f t="shared" ref="AH3:AH12" si="2">IF( $C3="", "", IF( E3="", 0, 60*LEFT(E3, FIND("'", E3)-1) + RIGHT( E3, 2)))</f>
        <v>155</v>
      </c>
      <c r="AI3" s="15">
        <f t="shared" ref="AI3:AI12" si="3">IF( $C3="", "", IF( F3="", 0, 60*LEFT(F3, FIND("'", F3)-1) + RIGHT( F3, 2)))</f>
        <v>267</v>
      </c>
      <c r="AJ3" s="15">
        <f t="shared" ref="AJ3:AJ12" si="4">IF( $C3="", "", IF( G3="", 0, 60*LEFT(G3, FIND("'", G3)-1) + RIGHT( G3, 2)))</f>
        <v>400</v>
      </c>
      <c r="AK3" s="15">
        <f t="shared" ref="AK3:AK12" si="5">IF( $C3="", "", IF( H3="", 0, 60*LEFT(H3, FIND("'", H3)-1) + RIGHT( H3, 2)))</f>
        <v>460</v>
      </c>
      <c r="AL3" s="15">
        <f t="shared" ref="AL3:AL12" si="6">IF( $C3="", "", IF( I3="", 0, 60*LEFT(I3, FIND("'", I3)-1) + RIGHT( I3, 2)))</f>
        <v>937</v>
      </c>
      <c r="AM3" s="15">
        <f t="shared" ref="AM3:AM12" si="7">IF( $C3="", "", IF( J3="", 0, 60*LEFT(J3, FIND("'", J3)-1) + RIGHT( J3, 2)))</f>
        <v>1070</v>
      </c>
      <c r="AN3" s="15">
        <f t="shared" ref="AN3:AN12" si="8">IF( $C3="", "", IF( K3="", 0, 60*LEFT(K3, FIND("'", K3)-1) + RIGHT( K3, 2)))</f>
        <v>1431</v>
      </c>
      <c r="AO3" s="15">
        <f t="shared" ref="AO3:AO12" si="9">IF( $C3="", "", IF( L3="", 0, 60*LEFT(L3, FIND("'", L3)-1) + RIGHT( L3, 2)))</f>
        <v>2189</v>
      </c>
      <c r="AP3" s="15">
        <f t="shared" ref="AP3:AP12" si="10">IF( $C3="", "", IF( M3="", 0, 60*LEFT(M3, FIND("'", M3)-1) + RIGHT( M3, 2)))</f>
        <v>2269</v>
      </c>
      <c r="AQ3" s="15">
        <f t="shared" ref="AQ3:AQ12" si="11">IF( $C3="", "", IF( N3="", 0, 60*LEFT(N3, FIND("'", N3)-1) + RIGHT( N3, 2)))</f>
        <v>2351</v>
      </c>
      <c r="AR3" s="11" t="s">
        <v>24</v>
      </c>
    </row>
    <row r="4" spans="1:44" x14ac:dyDescent="0.2">
      <c r="B4" s="4">
        <v>2</v>
      </c>
      <c r="C4" s="47">
        <v>43663</v>
      </c>
      <c r="D4" s="46" t="s">
        <v>39</v>
      </c>
      <c r="E4" s="46" t="s">
        <v>0</v>
      </c>
      <c r="F4" s="46" t="s">
        <v>40</v>
      </c>
      <c r="G4" s="46" t="s">
        <v>41</v>
      </c>
      <c r="H4" s="46" t="s">
        <v>42</v>
      </c>
      <c r="I4" s="46" t="s">
        <v>43</v>
      </c>
      <c r="J4" s="46" t="s">
        <v>44</v>
      </c>
      <c r="K4" s="46" t="s">
        <v>45</v>
      </c>
      <c r="L4" s="46" t="s">
        <v>46</v>
      </c>
      <c r="M4" s="46" t="s">
        <v>51</v>
      </c>
      <c r="N4" s="46" t="s">
        <v>47</v>
      </c>
      <c r="O4" s="48" t="s">
        <v>76</v>
      </c>
      <c r="Q4" s="6" t="s">
        <v>14</v>
      </c>
      <c r="R4" s="7">
        <v>0.2</v>
      </c>
      <c r="S4" s="7">
        <v>0.25</v>
      </c>
      <c r="T4" s="7">
        <v>0.31</v>
      </c>
      <c r="U4" s="7">
        <v>0.39</v>
      </c>
      <c r="V4" s="7">
        <v>0.17</v>
      </c>
      <c r="W4" s="7">
        <v>1.36</v>
      </c>
      <c r="X4" s="7">
        <v>0.37</v>
      </c>
      <c r="Y4" s="7">
        <v>1</v>
      </c>
      <c r="Z4" s="7">
        <v>1.92</v>
      </c>
      <c r="AA4" s="7">
        <v>0.19</v>
      </c>
      <c r="AB4" s="7">
        <v>0.25</v>
      </c>
      <c r="AC4" s="9" t="s">
        <v>16</v>
      </c>
      <c r="AE4" s="4">
        <v>2</v>
      </c>
      <c r="AF4" s="2">
        <f t="shared" ref="AF4:AF12" si="12">IF( $C4="", "", $C4 )</f>
        <v>43663</v>
      </c>
      <c r="AG4" s="15">
        <f t="shared" si="1"/>
        <v>65</v>
      </c>
      <c r="AH4" s="15">
        <f t="shared" si="2"/>
        <v>155</v>
      </c>
      <c r="AI4" s="15">
        <f t="shared" si="3"/>
        <v>266</v>
      </c>
      <c r="AJ4" s="15">
        <f t="shared" si="4"/>
        <v>399</v>
      </c>
      <c r="AK4" s="15">
        <f t="shared" si="5"/>
        <v>454</v>
      </c>
      <c r="AL4" s="15">
        <f t="shared" si="6"/>
        <v>928</v>
      </c>
      <c r="AM4" s="15">
        <f t="shared" si="7"/>
        <v>1053</v>
      </c>
      <c r="AN4" s="15">
        <f t="shared" si="8"/>
        <v>1397</v>
      </c>
      <c r="AO4" s="15">
        <f t="shared" si="9"/>
        <v>2094</v>
      </c>
      <c r="AP4" s="15">
        <f t="shared" si="10"/>
        <v>2163</v>
      </c>
      <c r="AQ4" s="15">
        <f t="shared" si="11"/>
        <v>2233</v>
      </c>
      <c r="AR4" s="11" t="s">
        <v>24</v>
      </c>
    </row>
    <row r="5" spans="1:44" x14ac:dyDescent="0.2">
      <c r="B5" s="4">
        <v>3</v>
      </c>
      <c r="C5" s="47">
        <v>43668</v>
      </c>
      <c r="D5" s="46" t="s">
        <v>59</v>
      </c>
      <c r="E5" s="46" t="s">
        <v>60</v>
      </c>
      <c r="F5" s="46" t="s">
        <v>61</v>
      </c>
      <c r="G5" s="46" t="s">
        <v>62</v>
      </c>
      <c r="H5" s="46" t="s">
        <v>63</v>
      </c>
      <c r="I5" s="46" t="s">
        <v>64</v>
      </c>
      <c r="J5" s="46" t="s">
        <v>65</v>
      </c>
      <c r="K5" s="46" t="s">
        <v>66</v>
      </c>
      <c r="L5" s="46" t="s">
        <v>67</v>
      </c>
      <c r="M5" s="46" t="s">
        <v>68</v>
      </c>
      <c r="N5" s="46" t="s">
        <v>69</v>
      </c>
      <c r="O5" s="48" t="s">
        <v>76</v>
      </c>
      <c r="Q5" s="6" t="s">
        <v>15</v>
      </c>
      <c r="R5">
        <f>N(Q5)+R4</f>
        <v>0.2</v>
      </c>
      <c r="S5">
        <f t="shared" ref="S5:AB5" si="13">N(R5)+S4</f>
        <v>0.45</v>
      </c>
      <c r="T5">
        <f t="shared" si="13"/>
        <v>0.76</v>
      </c>
      <c r="U5">
        <f t="shared" si="13"/>
        <v>1.1499999999999999</v>
      </c>
      <c r="V5">
        <f t="shared" si="13"/>
        <v>1.3199999999999998</v>
      </c>
      <c r="W5">
        <f t="shared" si="13"/>
        <v>2.6799999999999997</v>
      </c>
      <c r="X5">
        <f t="shared" si="13"/>
        <v>3.05</v>
      </c>
      <c r="Y5">
        <f t="shared" si="13"/>
        <v>4.05</v>
      </c>
      <c r="Z5">
        <f t="shared" si="13"/>
        <v>5.97</v>
      </c>
      <c r="AA5">
        <f t="shared" si="13"/>
        <v>6.16</v>
      </c>
      <c r="AB5">
        <f t="shared" si="13"/>
        <v>6.41</v>
      </c>
      <c r="AC5" s="9" t="s">
        <v>16</v>
      </c>
      <c r="AE5" s="4">
        <v>3</v>
      </c>
      <c r="AF5" s="2">
        <f t="shared" si="12"/>
        <v>43668</v>
      </c>
      <c r="AG5" s="15">
        <f t="shared" si="1"/>
        <v>58</v>
      </c>
      <c r="AH5" s="15">
        <f t="shared" si="2"/>
        <v>139</v>
      </c>
      <c r="AI5" s="15">
        <f t="shared" si="3"/>
        <v>238</v>
      </c>
      <c r="AJ5" s="15">
        <f t="shared" si="4"/>
        <v>362</v>
      </c>
      <c r="AK5" s="15">
        <f t="shared" si="5"/>
        <v>415</v>
      </c>
      <c r="AL5" s="15">
        <f t="shared" si="6"/>
        <v>872</v>
      </c>
      <c r="AM5" s="15">
        <f t="shared" si="7"/>
        <v>996</v>
      </c>
      <c r="AN5" s="15">
        <f t="shared" si="8"/>
        <v>1346</v>
      </c>
      <c r="AO5" s="15">
        <f t="shared" si="9"/>
        <v>2065</v>
      </c>
      <c r="AP5" s="15">
        <f t="shared" si="10"/>
        <v>2142</v>
      </c>
      <c r="AQ5" s="15">
        <f t="shared" si="11"/>
        <v>2212</v>
      </c>
      <c r="AR5" s="11" t="s">
        <v>24</v>
      </c>
    </row>
    <row r="6" spans="1:44" x14ac:dyDescent="0.2">
      <c r="B6" s="4">
        <v>4</v>
      </c>
      <c r="C6" s="47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8"/>
      <c r="AE6" s="4">
        <v>4</v>
      </c>
      <c r="AF6" s="2" t="str">
        <f t="shared" si="12"/>
        <v/>
      </c>
      <c r="AG6" s="15" t="str">
        <f t="shared" si="1"/>
        <v/>
      </c>
      <c r="AH6" s="15" t="str">
        <f t="shared" si="2"/>
        <v/>
      </c>
      <c r="AI6" s="15" t="str">
        <f t="shared" si="3"/>
        <v/>
      </c>
      <c r="AJ6" s="15" t="str">
        <f t="shared" si="4"/>
        <v/>
      </c>
      <c r="AK6" s="15" t="str">
        <f t="shared" si="5"/>
        <v/>
      </c>
      <c r="AL6" s="15" t="str">
        <f t="shared" si="6"/>
        <v/>
      </c>
      <c r="AM6" s="15" t="str">
        <f t="shared" si="7"/>
        <v/>
      </c>
      <c r="AN6" s="15" t="str">
        <f t="shared" si="8"/>
        <v/>
      </c>
      <c r="AO6" s="15" t="str">
        <f t="shared" si="9"/>
        <v/>
      </c>
      <c r="AP6" s="15" t="str">
        <f t="shared" si="10"/>
        <v/>
      </c>
      <c r="AQ6" s="15" t="str">
        <f t="shared" si="11"/>
        <v/>
      </c>
      <c r="AR6" s="11" t="s">
        <v>24</v>
      </c>
    </row>
    <row r="7" spans="1:44" x14ac:dyDescent="0.2">
      <c r="B7" s="4">
        <v>5</v>
      </c>
      <c r="C7" s="47"/>
      <c r="D7" s="46"/>
      <c r="E7" s="46"/>
      <c r="F7" s="46"/>
      <c r="G7" s="7"/>
      <c r="H7" s="46"/>
      <c r="I7" s="46"/>
      <c r="J7" s="7"/>
      <c r="K7" s="7"/>
      <c r="L7" s="46"/>
      <c r="M7" s="46"/>
      <c r="N7" s="46"/>
      <c r="O7" s="48"/>
      <c r="AE7" s="4">
        <v>5</v>
      </c>
      <c r="AF7" s="2" t="str">
        <f t="shared" si="12"/>
        <v/>
      </c>
      <c r="AG7" s="15" t="str">
        <f t="shared" si="1"/>
        <v/>
      </c>
      <c r="AH7" s="15" t="str">
        <f t="shared" si="2"/>
        <v/>
      </c>
      <c r="AI7" s="15" t="str">
        <f t="shared" si="3"/>
        <v/>
      </c>
      <c r="AJ7" s="15" t="str">
        <f t="shared" si="4"/>
        <v/>
      </c>
      <c r="AK7" s="15" t="str">
        <f t="shared" si="5"/>
        <v/>
      </c>
      <c r="AL7" s="15" t="str">
        <f t="shared" si="6"/>
        <v/>
      </c>
      <c r="AM7" s="15" t="str">
        <f t="shared" si="7"/>
        <v/>
      </c>
      <c r="AN7" s="15" t="str">
        <f t="shared" si="8"/>
        <v/>
      </c>
      <c r="AO7" s="15" t="str">
        <f t="shared" si="9"/>
        <v/>
      </c>
      <c r="AP7" s="15" t="str">
        <f t="shared" si="10"/>
        <v/>
      </c>
      <c r="AQ7" s="15" t="str">
        <f t="shared" si="11"/>
        <v/>
      </c>
      <c r="AR7" s="11" t="s">
        <v>24</v>
      </c>
    </row>
    <row r="8" spans="1:44" x14ac:dyDescent="0.2">
      <c r="B8" s="4">
        <v>6</v>
      </c>
      <c r="C8" s="47"/>
      <c r="D8" s="46"/>
      <c r="E8" s="46"/>
      <c r="F8" s="46"/>
      <c r="G8" s="46"/>
      <c r="H8" s="46"/>
      <c r="I8" s="46"/>
      <c r="J8" s="7"/>
      <c r="K8" s="7"/>
      <c r="L8" s="46"/>
      <c r="M8" s="46"/>
      <c r="N8" s="46"/>
      <c r="O8" s="48"/>
      <c r="AE8" s="4">
        <v>6</v>
      </c>
      <c r="AF8" s="2" t="str">
        <f t="shared" si="12"/>
        <v/>
      </c>
      <c r="AG8" s="15" t="str">
        <f t="shared" si="1"/>
        <v/>
      </c>
      <c r="AH8" s="15" t="str">
        <f t="shared" si="2"/>
        <v/>
      </c>
      <c r="AI8" s="15" t="str">
        <f t="shared" si="3"/>
        <v/>
      </c>
      <c r="AJ8" s="15" t="str">
        <f t="shared" si="4"/>
        <v/>
      </c>
      <c r="AK8" s="15" t="str">
        <f t="shared" si="5"/>
        <v/>
      </c>
      <c r="AL8" s="15" t="str">
        <f t="shared" si="6"/>
        <v/>
      </c>
      <c r="AM8" s="15" t="str">
        <f t="shared" si="7"/>
        <v/>
      </c>
      <c r="AN8" s="15" t="str">
        <f t="shared" si="8"/>
        <v/>
      </c>
      <c r="AO8" s="15" t="str">
        <f t="shared" si="9"/>
        <v/>
      </c>
      <c r="AP8" s="15" t="str">
        <f t="shared" si="10"/>
        <v/>
      </c>
      <c r="AQ8" s="15" t="str">
        <f t="shared" si="11"/>
        <v/>
      </c>
      <c r="AR8" s="11" t="s">
        <v>24</v>
      </c>
    </row>
    <row r="9" spans="1:44" x14ac:dyDescent="0.2">
      <c r="B9" s="4">
        <v>7</v>
      </c>
      <c r="C9" s="47"/>
      <c r="D9" s="46"/>
      <c r="E9" s="46"/>
      <c r="F9" s="46"/>
      <c r="G9" s="46"/>
      <c r="H9" s="46"/>
      <c r="I9" s="46"/>
      <c r="J9" s="7"/>
      <c r="K9" s="7"/>
      <c r="L9" s="46"/>
      <c r="M9" s="46"/>
      <c r="N9" s="46"/>
      <c r="O9" s="48"/>
      <c r="AE9" s="4">
        <v>7</v>
      </c>
      <c r="AF9" s="2" t="str">
        <f t="shared" si="12"/>
        <v/>
      </c>
      <c r="AG9" s="15" t="str">
        <f t="shared" si="1"/>
        <v/>
      </c>
      <c r="AH9" s="15" t="str">
        <f t="shared" si="2"/>
        <v/>
      </c>
      <c r="AI9" s="15" t="str">
        <f t="shared" si="3"/>
        <v/>
      </c>
      <c r="AJ9" s="15" t="str">
        <f t="shared" si="4"/>
        <v/>
      </c>
      <c r="AK9" s="15" t="str">
        <f t="shared" si="5"/>
        <v/>
      </c>
      <c r="AL9" s="15" t="str">
        <f t="shared" si="6"/>
        <v/>
      </c>
      <c r="AM9" s="15" t="str">
        <f t="shared" si="7"/>
        <v/>
      </c>
      <c r="AN9" s="15" t="str">
        <f t="shared" si="8"/>
        <v/>
      </c>
      <c r="AO9" s="15" t="str">
        <f t="shared" si="9"/>
        <v/>
      </c>
      <c r="AP9" s="15" t="str">
        <f t="shared" si="10"/>
        <v/>
      </c>
      <c r="AQ9" s="15" t="str">
        <f t="shared" si="11"/>
        <v/>
      </c>
      <c r="AR9" s="11" t="s">
        <v>24</v>
      </c>
    </row>
    <row r="10" spans="1:44" x14ac:dyDescent="0.2">
      <c r="B10" s="4">
        <v>8</v>
      </c>
      <c r="C10" s="47"/>
      <c r="D10" s="46"/>
      <c r="E10" s="46"/>
      <c r="F10" s="46"/>
      <c r="G10" s="46"/>
      <c r="H10" s="46"/>
      <c r="I10" s="46"/>
      <c r="J10" s="7"/>
      <c r="K10" s="7"/>
      <c r="L10" s="46"/>
      <c r="M10" s="46"/>
      <c r="N10" s="46"/>
      <c r="O10" s="48"/>
      <c r="AE10" s="4">
        <v>8</v>
      </c>
      <c r="AF10" s="2" t="str">
        <f t="shared" si="12"/>
        <v/>
      </c>
      <c r="AG10" s="15" t="str">
        <f t="shared" si="1"/>
        <v/>
      </c>
      <c r="AH10" s="15" t="str">
        <f t="shared" si="2"/>
        <v/>
      </c>
      <c r="AI10" s="15" t="str">
        <f t="shared" si="3"/>
        <v/>
      </c>
      <c r="AJ10" s="15" t="str">
        <f t="shared" si="4"/>
        <v/>
      </c>
      <c r="AK10" s="15" t="str">
        <f t="shared" si="5"/>
        <v/>
      </c>
      <c r="AL10" s="15" t="str">
        <f t="shared" si="6"/>
        <v/>
      </c>
      <c r="AM10" s="15" t="str">
        <f t="shared" si="7"/>
        <v/>
      </c>
      <c r="AN10" s="15" t="str">
        <f t="shared" si="8"/>
        <v/>
      </c>
      <c r="AO10" s="15" t="str">
        <f t="shared" si="9"/>
        <v/>
      </c>
      <c r="AP10" s="15" t="str">
        <f t="shared" si="10"/>
        <v/>
      </c>
      <c r="AQ10" s="15" t="str">
        <f t="shared" si="11"/>
        <v/>
      </c>
      <c r="AR10" s="11" t="s">
        <v>24</v>
      </c>
    </row>
    <row r="11" spans="1:44" x14ac:dyDescent="0.2">
      <c r="B11" s="4">
        <v>9</v>
      </c>
      <c r="C11" s="47"/>
      <c r="D11" s="46"/>
      <c r="E11" s="46"/>
      <c r="F11" s="46"/>
      <c r="G11" s="46"/>
      <c r="H11" s="46"/>
      <c r="I11" s="46"/>
      <c r="J11" s="7"/>
      <c r="K11" s="7"/>
      <c r="L11" s="46"/>
      <c r="M11" s="46"/>
      <c r="N11" s="46"/>
      <c r="O11" s="48"/>
      <c r="AE11" s="4">
        <v>9</v>
      </c>
      <c r="AF11" s="2" t="str">
        <f t="shared" si="12"/>
        <v/>
      </c>
      <c r="AG11" s="15" t="str">
        <f t="shared" si="1"/>
        <v/>
      </c>
      <c r="AH11" s="15" t="str">
        <f t="shared" si="2"/>
        <v/>
      </c>
      <c r="AI11" s="15" t="str">
        <f t="shared" si="3"/>
        <v/>
      </c>
      <c r="AJ11" s="15" t="str">
        <f t="shared" si="4"/>
        <v/>
      </c>
      <c r="AK11" s="15" t="str">
        <f t="shared" si="5"/>
        <v/>
      </c>
      <c r="AL11" s="15" t="str">
        <f t="shared" si="6"/>
        <v/>
      </c>
      <c r="AM11" s="15" t="str">
        <f t="shared" si="7"/>
        <v/>
      </c>
      <c r="AN11" s="15" t="str">
        <f t="shared" si="8"/>
        <v/>
      </c>
      <c r="AO11" s="15" t="str">
        <f t="shared" si="9"/>
        <v/>
      </c>
      <c r="AP11" s="15" t="str">
        <f t="shared" si="10"/>
        <v/>
      </c>
      <c r="AQ11" s="15" t="str">
        <f t="shared" si="11"/>
        <v/>
      </c>
      <c r="AR11" s="11" t="s">
        <v>24</v>
      </c>
    </row>
    <row r="12" spans="1:44" x14ac:dyDescent="0.2">
      <c r="B12" s="4">
        <v>10</v>
      </c>
      <c r="C12" s="47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7"/>
      <c r="O12" s="48"/>
      <c r="AE12" s="4">
        <v>10</v>
      </c>
      <c r="AF12" s="2" t="str">
        <f t="shared" si="12"/>
        <v/>
      </c>
      <c r="AG12" s="15" t="str">
        <f t="shared" si="1"/>
        <v/>
      </c>
      <c r="AH12" s="15" t="str">
        <f t="shared" si="2"/>
        <v/>
      </c>
      <c r="AI12" s="15" t="str">
        <f t="shared" si="3"/>
        <v/>
      </c>
      <c r="AJ12" s="15" t="str">
        <f t="shared" si="4"/>
        <v/>
      </c>
      <c r="AK12" s="15" t="str">
        <f t="shared" si="5"/>
        <v/>
      </c>
      <c r="AL12" s="15" t="str">
        <f t="shared" si="6"/>
        <v/>
      </c>
      <c r="AM12" s="15" t="str">
        <f t="shared" si="7"/>
        <v/>
      </c>
      <c r="AN12" s="15" t="str">
        <f t="shared" si="8"/>
        <v/>
      </c>
      <c r="AO12" s="15" t="str">
        <f t="shared" si="9"/>
        <v/>
      </c>
      <c r="AP12" s="15" t="str">
        <f t="shared" si="10"/>
        <v/>
      </c>
      <c r="AQ12" s="15" t="str">
        <f t="shared" si="11"/>
        <v/>
      </c>
      <c r="AR12" s="11" t="s">
        <v>24</v>
      </c>
    </row>
    <row r="15" spans="1:44" x14ac:dyDescent="0.2">
      <c r="C15" s="5" t="s">
        <v>12</v>
      </c>
      <c r="D15" s="3">
        <v>1</v>
      </c>
      <c r="E15" s="3">
        <v>2</v>
      </c>
      <c r="F15" s="3">
        <v>3</v>
      </c>
      <c r="G15" s="3">
        <v>4</v>
      </c>
      <c r="H15" s="3">
        <v>5</v>
      </c>
      <c r="I15" s="3">
        <v>6</v>
      </c>
      <c r="J15" s="3">
        <v>7</v>
      </c>
      <c r="K15" s="3">
        <v>8</v>
      </c>
      <c r="L15" s="3">
        <v>9</v>
      </c>
      <c r="M15" s="3">
        <v>10</v>
      </c>
      <c r="N15" s="3">
        <v>11</v>
      </c>
    </row>
    <row r="16" spans="1:44" x14ac:dyDescent="0.2">
      <c r="C16" s="25" t="s">
        <v>14</v>
      </c>
      <c r="D16" s="26">
        <f t="shared" ref="D16:N16" si="14">R4</f>
        <v>0.2</v>
      </c>
      <c r="E16" s="26">
        <f t="shared" si="14"/>
        <v>0.25</v>
      </c>
      <c r="F16" s="26">
        <f t="shared" si="14"/>
        <v>0.31</v>
      </c>
      <c r="G16" s="26">
        <f t="shared" si="14"/>
        <v>0.39</v>
      </c>
      <c r="H16" s="26">
        <f t="shared" si="14"/>
        <v>0.17</v>
      </c>
      <c r="I16" s="26">
        <f t="shared" si="14"/>
        <v>1.36</v>
      </c>
      <c r="J16" s="26">
        <f t="shared" si="14"/>
        <v>0.37</v>
      </c>
      <c r="K16" s="26">
        <f t="shared" si="14"/>
        <v>1</v>
      </c>
      <c r="L16" s="26">
        <f t="shared" si="14"/>
        <v>1.92</v>
      </c>
      <c r="M16" s="26">
        <f t="shared" si="14"/>
        <v>0.19</v>
      </c>
      <c r="N16" s="26">
        <f t="shared" si="14"/>
        <v>0.25</v>
      </c>
      <c r="O16" s="20" t="s">
        <v>16</v>
      </c>
    </row>
    <row r="17" spans="1:39" x14ac:dyDescent="0.2">
      <c r="A17" t="s">
        <v>18</v>
      </c>
      <c r="B17" t="s">
        <v>30</v>
      </c>
      <c r="C17" s="21" t="s">
        <v>19</v>
      </c>
      <c r="D17" s="15">
        <f t="shared" ref="D17:N17" si="15">D30-N(C30)</f>
        <v>58</v>
      </c>
      <c r="E17" s="15">
        <f t="shared" si="15"/>
        <v>81</v>
      </c>
      <c r="F17" s="15">
        <f t="shared" si="15"/>
        <v>99</v>
      </c>
      <c r="G17" s="15">
        <f t="shared" si="15"/>
        <v>124</v>
      </c>
      <c r="H17" s="15">
        <f t="shared" si="15"/>
        <v>53</v>
      </c>
      <c r="I17" s="15">
        <f t="shared" si="15"/>
        <v>457</v>
      </c>
      <c r="J17" s="15">
        <f t="shared" si="15"/>
        <v>124</v>
      </c>
      <c r="K17" s="15">
        <f t="shared" si="15"/>
        <v>350</v>
      </c>
      <c r="L17" s="15">
        <f t="shared" si="15"/>
        <v>719</v>
      </c>
      <c r="M17" s="15">
        <f t="shared" si="15"/>
        <v>77</v>
      </c>
      <c r="N17" s="16">
        <f t="shared" si="15"/>
        <v>70</v>
      </c>
      <c r="O17" s="9" t="s">
        <v>24</v>
      </c>
    </row>
    <row r="18" spans="1:39" x14ac:dyDescent="0.2">
      <c r="C18" s="21" t="s">
        <v>20</v>
      </c>
      <c r="D18" s="12">
        <f t="shared" ref="D18:N18" si="16">IFERROR( R$4 / D17 * 3600, 0)</f>
        <v>12.413793103448278</v>
      </c>
      <c r="E18" s="12">
        <f t="shared" si="16"/>
        <v>11.111111111111111</v>
      </c>
      <c r="F18" s="12">
        <f t="shared" si="16"/>
        <v>11.272727272727272</v>
      </c>
      <c r="G18" s="12">
        <f t="shared" si="16"/>
        <v>11.32258064516129</v>
      </c>
      <c r="H18" s="12">
        <f t="shared" si="16"/>
        <v>11.547169811320757</v>
      </c>
      <c r="I18" s="12">
        <f t="shared" si="16"/>
        <v>10.713347921225383</v>
      </c>
      <c r="J18" s="12">
        <f t="shared" si="16"/>
        <v>10.741935483870968</v>
      </c>
      <c r="K18" s="12">
        <f t="shared" si="16"/>
        <v>10.285714285714286</v>
      </c>
      <c r="L18" s="12">
        <f t="shared" si="16"/>
        <v>9.6133518776077889</v>
      </c>
      <c r="M18" s="12">
        <f t="shared" si="16"/>
        <v>8.8831168831168839</v>
      </c>
      <c r="N18" s="22">
        <f t="shared" si="16"/>
        <v>12.857142857142856</v>
      </c>
      <c r="O18" s="9" t="s">
        <v>25</v>
      </c>
      <c r="AM18" s="15"/>
    </row>
    <row r="19" spans="1:39" x14ac:dyDescent="0.2">
      <c r="C19" s="21" t="s">
        <v>22</v>
      </c>
      <c r="D19" s="14">
        <f t="shared" ref="D19:N19" si="17">D17/D26-1</f>
        <v>-6.9518716577540163E-2</v>
      </c>
      <c r="E19" s="14">
        <f t="shared" si="17"/>
        <v>-7.2519083969465492E-2</v>
      </c>
      <c r="F19" s="14">
        <f t="shared" si="17"/>
        <v>-7.7639751552795122E-2</v>
      </c>
      <c r="G19" s="14">
        <f t="shared" si="17"/>
        <v>-4.6153846153846101E-2</v>
      </c>
      <c r="H19" s="14">
        <f t="shared" si="17"/>
        <v>-5.3571428571428603E-2</v>
      </c>
      <c r="I19" s="14">
        <f t="shared" si="17"/>
        <v>-2.6278409090909172E-2</v>
      </c>
      <c r="J19" s="14">
        <f t="shared" si="17"/>
        <v>-2.6178010471204494E-2</v>
      </c>
      <c r="K19" s="14">
        <f t="shared" si="17"/>
        <v>-4.7393364928906001E-3</v>
      </c>
      <c r="L19" s="14">
        <f t="shared" si="17"/>
        <v>-7.8196872125115835E-3</v>
      </c>
      <c r="M19" s="14">
        <f t="shared" si="17"/>
        <v>2.2123893805307659E-2</v>
      </c>
      <c r="N19" s="14">
        <f t="shared" si="17"/>
        <v>-5.4054054054054057E-2</v>
      </c>
      <c r="O19" s="9" t="s">
        <v>26</v>
      </c>
    </row>
    <row r="20" spans="1:39" ht="12" customHeight="1" x14ac:dyDescent="0.2">
      <c r="C20" s="21" t="s">
        <v>22</v>
      </c>
      <c r="D20" s="31">
        <f>D17-D26</f>
        <v>-4.3333333333333357</v>
      </c>
      <c r="E20" s="31">
        <f t="shared" ref="E20:N20" si="18">E17-E26</f>
        <v>-6.3333333333333144</v>
      </c>
      <c r="F20" s="31">
        <f t="shared" si="18"/>
        <v>-8.3333333333333428</v>
      </c>
      <c r="G20" s="31">
        <f t="shared" si="18"/>
        <v>-6</v>
      </c>
      <c r="H20" s="31">
        <f t="shared" si="18"/>
        <v>-3</v>
      </c>
      <c r="I20" s="31">
        <f t="shared" si="18"/>
        <v>-12.333333333333371</v>
      </c>
      <c r="J20" s="31">
        <f t="shared" si="18"/>
        <v>-3.3333333333333712</v>
      </c>
      <c r="K20" s="31">
        <f t="shared" si="18"/>
        <v>-1.6666666666665151</v>
      </c>
      <c r="L20" s="31">
        <f t="shared" si="18"/>
        <v>-5.6666666666667425</v>
      </c>
      <c r="M20" s="31">
        <f t="shared" si="18"/>
        <v>1.6666666666665151</v>
      </c>
      <c r="N20" s="31">
        <f t="shared" si="18"/>
        <v>-4</v>
      </c>
      <c r="O20" s="9" t="s">
        <v>24</v>
      </c>
    </row>
    <row r="21" spans="1:39" ht="12" customHeight="1" x14ac:dyDescent="0.2">
      <c r="C21" s="21" t="s">
        <v>50</v>
      </c>
      <c r="D21" s="14">
        <f>D17/D23-1</f>
        <v>-0.10769230769230764</v>
      </c>
      <c r="E21" s="14">
        <f t="shared" ref="E21:N21" si="19">E17/E23-1</f>
        <v>-9.9999999999999978E-2</v>
      </c>
      <c r="F21" s="14">
        <f t="shared" si="19"/>
        <v>-0.10810810810810811</v>
      </c>
      <c r="G21" s="14">
        <f t="shared" si="19"/>
        <v>-6.7669172932330879E-2</v>
      </c>
      <c r="H21" s="14">
        <f t="shared" si="19"/>
        <v>-3.6363636363636376E-2</v>
      </c>
      <c r="I21" s="14">
        <f t="shared" si="19"/>
        <v>-3.5864978902953593E-2</v>
      </c>
      <c r="J21" s="14">
        <f t="shared" si="19"/>
        <v>-8.0000000000000071E-3</v>
      </c>
      <c r="K21" s="14">
        <f t="shared" si="19"/>
        <v>1.744186046511631E-2</v>
      </c>
      <c r="L21" s="14">
        <f t="shared" si="19"/>
        <v>3.1563845050215145E-2</v>
      </c>
      <c r="M21" s="14">
        <f t="shared" si="19"/>
        <v>0.11594202898550732</v>
      </c>
      <c r="N21" s="14">
        <f t="shared" si="19"/>
        <v>0</v>
      </c>
      <c r="O21" s="9" t="s">
        <v>26</v>
      </c>
    </row>
    <row r="22" spans="1:39" ht="12" customHeight="1" x14ac:dyDescent="0.2">
      <c r="C22" s="21" t="s">
        <v>50</v>
      </c>
      <c r="D22" s="31">
        <f>D17-D23</f>
        <v>-7</v>
      </c>
      <c r="E22" s="31">
        <f t="shared" ref="E22:N22" si="20">E17-E23</f>
        <v>-9</v>
      </c>
      <c r="F22" s="31">
        <f t="shared" si="20"/>
        <v>-12</v>
      </c>
      <c r="G22" s="31">
        <f t="shared" si="20"/>
        <v>-9</v>
      </c>
      <c r="H22" s="31">
        <f t="shared" si="20"/>
        <v>-2</v>
      </c>
      <c r="I22" s="31">
        <f t="shared" si="20"/>
        <v>-17</v>
      </c>
      <c r="J22" s="31">
        <f t="shared" si="20"/>
        <v>-1</v>
      </c>
      <c r="K22" s="31">
        <f t="shared" si="20"/>
        <v>6</v>
      </c>
      <c r="L22" s="31">
        <f t="shared" si="20"/>
        <v>22</v>
      </c>
      <c r="M22" s="31">
        <f t="shared" si="20"/>
        <v>8</v>
      </c>
      <c r="N22" s="31">
        <f t="shared" si="20"/>
        <v>0</v>
      </c>
      <c r="O22" s="9" t="s">
        <v>24</v>
      </c>
    </row>
    <row r="23" spans="1:39" x14ac:dyDescent="0.2">
      <c r="B23" t="s">
        <v>23</v>
      </c>
      <c r="C23" s="21" t="s">
        <v>19</v>
      </c>
      <c r="D23" s="15">
        <f t="shared" ref="D23:N23" si="21">D36-N(C36)</f>
        <v>65</v>
      </c>
      <c r="E23" s="15">
        <f t="shared" si="21"/>
        <v>90</v>
      </c>
      <c r="F23" s="15">
        <f t="shared" si="21"/>
        <v>111</v>
      </c>
      <c r="G23" s="15">
        <f t="shared" si="21"/>
        <v>133</v>
      </c>
      <c r="H23" s="15">
        <f t="shared" si="21"/>
        <v>55</v>
      </c>
      <c r="I23" s="15">
        <f t="shared" si="21"/>
        <v>474</v>
      </c>
      <c r="J23" s="15">
        <f t="shared" si="21"/>
        <v>125</v>
      </c>
      <c r="K23" s="15">
        <f t="shared" si="21"/>
        <v>344</v>
      </c>
      <c r="L23" s="15">
        <f t="shared" si="21"/>
        <v>697</v>
      </c>
      <c r="M23" s="15">
        <f t="shared" si="21"/>
        <v>69</v>
      </c>
      <c r="N23" s="16">
        <f t="shared" si="21"/>
        <v>70</v>
      </c>
      <c r="O23" s="9" t="s">
        <v>24</v>
      </c>
    </row>
    <row r="24" spans="1:39" x14ac:dyDescent="0.2">
      <c r="C24" s="21" t="s">
        <v>20</v>
      </c>
      <c r="D24" s="12">
        <f t="shared" ref="D24:N24" si="22">R$4 / D23 * 3600</f>
        <v>11.076923076923077</v>
      </c>
      <c r="E24" s="12">
        <f t="shared" si="22"/>
        <v>10</v>
      </c>
      <c r="F24" s="12">
        <f t="shared" si="22"/>
        <v>10.054054054054054</v>
      </c>
      <c r="G24" s="12">
        <f t="shared" si="22"/>
        <v>10.556390977443611</v>
      </c>
      <c r="H24" s="12">
        <f t="shared" si="22"/>
        <v>11.127272727272729</v>
      </c>
      <c r="I24" s="12">
        <f t="shared" si="22"/>
        <v>10.329113924050633</v>
      </c>
      <c r="J24" s="12">
        <f t="shared" si="22"/>
        <v>10.656000000000001</v>
      </c>
      <c r="K24" s="12">
        <f t="shared" si="22"/>
        <v>10.465116279069766</v>
      </c>
      <c r="L24" s="12">
        <f t="shared" si="22"/>
        <v>9.9167862266857956</v>
      </c>
      <c r="M24" s="12">
        <f t="shared" si="22"/>
        <v>9.9130434782608692</v>
      </c>
      <c r="N24" s="22">
        <f t="shared" si="22"/>
        <v>12.857142857142856</v>
      </c>
      <c r="O24" s="9" t="s">
        <v>25</v>
      </c>
    </row>
    <row r="25" spans="1:39" x14ac:dyDescent="0.2">
      <c r="C25" s="21" t="s">
        <v>22</v>
      </c>
      <c r="D25" s="14">
        <f>D23/D26-1</f>
        <v>4.2780748663101553E-2</v>
      </c>
      <c r="E25" s="14">
        <f t="shared" ref="E25:N25" si="23">E23/E26-1</f>
        <v>3.0534351145038441E-2</v>
      </c>
      <c r="F25" s="14">
        <f t="shared" si="23"/>
        <v>3.4161490683229712E-2</v>
      </c>
      <c r="G25" s="14">
        <f t="shared" si="23"/>
        <v>2.3076923076922995E-2</v>
      </c>
      <c r="H25" s="14">
        <f t="shared" si="23"/>
        <v>-1.7857142857142905E-2</v>
      </c>
      <c r="I25" s="14">
        <f t="shared" si="23"/>
        <v>9.9431818181816567E-3</v>
      </c>
      <c r="J25" s="14">
        <f t="shared" si="23"/>
        <v>-1.8324607329843201E-2</v>
      </c>
      <c r="K25" s="14">
        <f t="shared" si="23"/>
        <v>-2.1800947867298137E-2</v>
      </c>
      <c r="L25" s="14">
        <f t="shared" si="23"/>
        <v>-3.8178472861085666E-2</v>
      </c>
      <c r="M25" s="14">
        <f t="shared" si="23"/>
        <v>-8.4070796460178787E-2</v>
      </c>
      <c r="N25" s="14">
        <f t="shared" si="23"/>
        <v>-5.4054054054054057E-2</v>
      </c>
      <c r="O25" s="9" t="s">
        <v>26</v>
      </c>
      <c r="Q25" t="s">
        <v>28</v>
      </c>
      <c r="R25" s="7">
        <f>R26</f>
        <v>3</v>
      </c>
      <c r="S25" s="45">
        <f>INDEX(C3:C12, R25)</f>
        <v>43668</v>
      </c>
    </row>
    <row r="26" spans="1:39" x14ac:dyDescent="0.2">
      <c r="B26" t="s">
        <v>21</v>
      </c>
      <c r="C26" s="21" t="s">
        <v>19</v>
      </c>
      <c r="D26" s="15">
        <f t="shared" ref="D26:N26" si="24">D39-N(C39)</f>
        <v>62.333333333333336</v>
      </c>
      <c r="E26" s="15">
        <f t="shared" si="24"/>
        <v>87.333333333333314</v>
      </c>
      <c r="F26" s="15">
        <f t="shared" si="24"/>
        <v>107.33333333333334</v>
      </c>
      <c r="G26" s="15">
        <f t="shared" si="24"/>
        <v>130</v>
      </c>
      <c r="H26" s="15">
        <f t="shared" si="24"/>
        <v>56</v>
      </c>
      <c r="I26" s="15">
        <f t="shared" si="24"/>
        <v>469.33333333333337</v>
      </c>
      <c r="J26" s="15">
        <f t="shared" si="24"/>
        <v>127.33333333333337</v>
      </c>
      <c r="K26" s="15">
        <f t="shared" si="24"/>
        <v>351.66666666666652</v>
      </c>
      <c r="L26" s="15">
        <f t="shared" si="24"/>
        <v>724.66666666666674</v>
      </c>
      <c r="M26" s="15">
        <f t="shared" si="24"/>
        <v>75.333333333333485</v>
      </c>
      <c r="N26" s="16">
        <f t="shared" si="24"/>
        <v>74</v>
      </c>
      <c r="O26" s="9" t="s">
        <v>24</v>
      </c>
      <c r="Q26" t="s">
        <v>27</v>
      </c>
      <c r="R26">
        <f>COUNT(C3:C12)</f>
        <v>3</v>
      </c>
    </row>
    <row r="27" spans="1:39" x14ac:dyDescent="0.2">
      <c r="C27" s="21" t="s">
        <v>20</v>
      </c>
      <c r="D27" s="12">
        <f t="shared" ref="D27:N27" si="25">R$4 / D26 * 3600</f>
        <v>11.550802139037433</v>
      </c>
      <c r="E27" s="12">
        <f t="shared" si="25"/>
        <v>10.305343511450383</v>
      </c>
      <c r="F27" s="12">
        <f t="shared" si="25"/>
        <v>10.39751552795031</v>
      </c>
      <c r="G27" s="12">
        <f t="shared" si="25"/>
        <v>10.8</v>
      </c>
      <c r="H27" s="12">
        <f t="shared" si="25"/>
        <v>10.928571428571431</v>
      </c>
      <c r="I27" s="12">
        <f t="shared" si="25"/>
        <v>10.431818181818182</v>
      </c>
      <c r="J27" s="12">
        <f t="shared" si="25"/>
        <v>10.460732984293189</v>
      </c>
      <c r="K27" s="12">
        <f t="shared" si="25"/>
        <v>10.236966824644554</v>
      </c>
      <c r="L27" s="12">
        <f t="shared" si="25"/>
        <v>9.5381784728610839</v>
      </c>
      <c r="M27" s="12">
        <f t="shared" si="25"/>
        <v>9.0796460176990976</v>
      </c>
      <c r="N27" s="22">
        <f t="shared" si="25"/>
        <v>12.162162162162163</v>
      </c>
      <c r="O27" s="9" t="s">
        <v>25</v>
      </c>
      <c r="Q27" t="s">
        <v>29</v>
      </c>
      <c r="R27">
        <f>R25-1</f>
        <v>2</v>
      </c>
      <c r="S27" s="45">
        <f>INDEX(C3:C12, R27)</f>
        <v>43663</v>
      </c>
      <c r="U27">
        <f>INDEX(C3:C12, R25) - INDEX(C3:C12, R27)</f>
        <v>5</v>
      </c>
      <c r="V27" t="s">
        <v>32</v>
      </c>
    </row>
    <row r="28" spans="1:39" x14ac:dyDescent="0.2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0"/>
    </row>
    <row r="29" spans="1:39" x14ac:dyDescent="0.2">
      <c r="N29" s="10"/>
      <c r="Q29" t="s">
        <v>33</v>
      </c>
      <c r="R29" t="s">
        <v>34</v>
      </c>
    </row>
    <row r="30" spans="1:39" x14ac:dyDescent="0.2">
      <c r="A30" t="s">
        <v>13</v>
      </c>
      <c r="B30" t="s">
        <v>30</v>
      </c>
      <c r="C30" s="21" t="s">
        <v>19</v>
      </c>
      <c r="D30" s="15">
        <f t="shared" ref="D30:N30" si="26">INDEX(AG3:AG12, $R$25 )</f>
        <v>58</v>
      </c>
      <c r="E30" s="15">
        <f t="shared" si="26"/>
        <v>139</v>
      </c>
      <c r="F30" s="15">
        <f t="shared" si="26"/>
        <v>238</v>
      </c>
      <c r="G30" s="15">
        <f t="shared" si="26"/>
        <v>362</v>
      </c>
      <c r="H30" s="15">
        <f t="shared" si="26"/>
        <v>415</v>
      </c>
      <c r="I30" s="15">
        <f t="shared" si="26"/>
        <v>872</v>
      </c>
      <c r="J30" s="15">
        <f t="shared" si="26"/>
        <v>996</v>
      </c>
      <c r="K30" s="15">
        <f t="shared" si="26"/>
        <v>1346</v>
      </c>
      <c r="L30" s="15">
        <f t="shared" si="26"/>
        <v>2065</v>
      </c>
      <c r="M30" s="15">
        <f t="shared" si="26"/>
        <v>2142</v>
      </c>
      <c r="N30" s="17">
        <f t="shared" si="26"/>
        <v>2212</v>
      </c>
      <c r="O30" s="9" t="s">
        <v>24</v>
      </c>
    </row>
    <row r="31" spans="1:39" x14ac:dyDescent="0.2">
      <c r="C31" s="21" t="s">
        <v>20</v>
      </c>
      <c r="D31" s="12">
        <f t="shared" ref="D31:N31" si="27">IFERROR( R$5 / D30 * 3600, 0)</f>
        <v>12.413793103448278</v>
      </c>
      <c r="E31" s="12">
        <f t="shared" si="27"/>
        <v>11.654676258992806</v>
      </c>
      <c r="F31" s="12">
        <f t="shared" si="27"/>
        <v>11.495798319327731</v>
      </c>
      <c r="G31" s="12">
        <f t="shared" si="27"/>
        <v>11.436464088397789</v>
      </c>
      <c r="H31" s="12">
        <f t="shared" si="27"/>
        <v>11.450602409638554</v>
      </c>
      <c r="I31" s="12">
        <f t="shared" si="27"/>
        <v>11.064220183486237</v>
      </c>
      <c r="J31" s="12">
        <f t="shared" si="27"/>
        <v>11.024096385542167</v>
      </c>
      <c r="K31" s="12">
        <f t="shared" si="27"/>
        <v>10.832095096582465</v>
      </c>
      <c r="L31" s="12">
        <f t="shared" si="27"/>
        <v>10.40774818401937</v>
      </c>
      <c r="M31" s="12">
        <f t="shared" si="27"/>
        <v>10.352941176470589</v>
      </c>
      <c r="N31" s="23">
        <f t="shared" si="27"/>
        <v>10.432188065099458</v>
      </c>
      <c r="O31" s="9" t="s">
        <v>25</v>
      </c>
      <c r="Q31" t="s">
        <v>35</v>
      </c>
      <c r="R31">
        <f>_xlfn.MINIFS(AE3:AE12, AQ3:AQ12,MIN(AQ3:AQ12))</f>
        <v>3</v>
      </c>
      <c r="S31" s="18">
        <f>INDEX( $C$3:$C$12, R31)</f>
        <v>43668</v>
      </c>
      <c r="T31" s="24">
        <f>$AB$5 / INDEX( $AQ$3:$AQ$12, R31 ) * 3600</f>
        <v>10.432188065099458</v>
      </c>
      <c r="U31" s="24"/>
    </row>
    <row r="32" spans="1:39" x14ac:dyDescent="0.2">
      <c r="C32" s="21" t="s">
        <v>22</v>
      </c>
      <c r="D32" s="14">
        <f t="shared" ref="D32:N32" si="28">D30/D39-1</f>
        <v>-6.9518716577540163E-2</v>
      </c>
      <c r="E32" s="14">
        <f t="shared" si="28"/>
        <v>-7.1269487750556748E-2</v>
      </c>
      <c r="F32" s="14">
        <f t="shared" si="28"/>
        <v>-7.3929961089494123E-2</v>
      </c>
      <c r="G32" s="14">
        <f t="shared" si="28"/>
        <v>-6.4599483204134334E-2</v>
      </c>
      <c r="H32" s="14">
        <f t="shared" si="28"/>
        <v>-6.3205417607223424E-2</v>
      </c>
      <c r="I32" s="14">
        <f t="shared" si="28"/>
        <v>-4.4208987943003319E-2</v>
      </c>
      <c r="J32" s="14">
        <f t="shared" si="28"/>
        <v>-4.2000641231163871E-2</v>
      </c>
      <c r="K32" s="14">
        <f t="shared" si="28"/>
        <v>-3.2582654528030663E-2</v>
      </c>
      <c r="L32" s="14">
        <f t="shared" si="28"/>
        <v>-2.4102079395085019E-2</v>
      </c>
      <c r="M32" s="14">
        <f t="shared" si="28"/>
        <v>-2.2512929723151887E-2</v>
      </c>
      <c r="N32" s="27">
        <f t="shared" si="28"/>
        <v>-2.3543260741612726E-2</v>
      </c>
      <c r="O32" s="9" t="s">
        <v>26</v>
      </c>
      <c r="Q32" t="s">
        <v>36</v>
      </c>
      <c r="R32">
        <f>_xlfn.MAXIFS(AE3:AE12, AQ3:AQ12,MAX(AQ3:AQ12))</f>
        <v>1</v>
      </c>
      <c r="S32" s="18">
        <f>INDEX( $C$3:$C$12, R32)</f>
        <v>43659</v>
      </c>
      <c r="T32" s="24">
        <f>$AB$5 / INDEX( $AQ$3:$AQ$12, R32 ) * 3600</f>
        <v>9.815397703105063</v>
      </c>
    </row>
    <row r="33" spans="2:29" ht="12" customHeight="1" x14ac:dyDescent="0.2">
      <c r="C33" s="21" t="s">
        <v>22</v>
      </c>
      <c r="D33" s="28">
        <f>D30-D39</f>
        <v>-4.3333333333333357</v>
      </c>
      <c r="E33" s="29">
        <f t="shared" ref="E33:N33" si="29">E30-E39</f>
        <v>-10.666666666666657</v>
      </c>
      <c r="F33" s="29">
        <f t="shared" si="29"/>
        <v>-19</v>
      </c>
      <c r="G33" s="29">
        <f t="shared" si="29"/>
        <v>-25</v>
      </c>
      <c r="H33" s="29">
        <f t="shared" si="29"/>
        <v>-28</v>
      </c>
      <c r="I33" s="29">
        <f t="shared" si="29"/>
        <v>-40.333333333333371</v>
      </c>
      <c r="J33" s="29">
        <f t="shared" si="29"/>
        <v>-43.666666666666742</v>
      </c>
      <c r="K33" s="29">
        <f t="shared" si="29"/>
        <v>-45.333333333333258</v>
      </c>
      <c r="L33" s="29">
        <f t="shared" si="29"/>
        <v>-51</v>
      </c>
      <c r="M33" s="29">
        <f t="shared" si="29"/>
        <v>-49.333333333333485</v>
      </c>
      <c r="N33" s="30">
        <f t="shared" si="29"/>
        <v>-53.333333333333485</v>
      </c>
      <c r="O33" s="9" t="s">
        <v>24</v>
      </c>
    </row>
    <row r="34" spans="2:29" ht="12" customHeight="1" x14ac:dyDescent="0.2">
      <c r="C34" s="21" t="s">
        <v>50</v>
      </c>
      <c r="D34" s="14">
        <f>D30/D36-1</f>
        <v>-0.10769230769230764</v>
      </c>
      <c r="E34" s="14">
        <f t="shared" ref="E34:N34" si="30">E30/E36-1</f>
        <v>-0.10322580645161294</v>
      </c>
      <c r="F34" s="14">
        <f t="shared" si="30"/>
        <v>-0.10526315789473684</v>
      </c>
      <c r="G34" s="14">
        <f t="shared" si="30"/>
        <v>-9.2731829573934887E-2</v>
      </c>
      <c r="H34" s="14">
        <f t="shared" si="30"/>
        <v>-8.590308370044053E-2</v>
      </c>
      <c r="I34" s="14">
        <f t="shared" si="30"/>
        <v>-6.0344827586206851E-2</v>
      </c>
      <c r="J34" s="14">
        <f t="shared" si="30"/>
        <v>-5.4131054131054124E-2</v>
      </c>
      <c r="K34" s="14">
        <f t="shared" si="30"/>
        <v>-3.6506800286327801E-2</v>
      </c>
      <c r="L34" s="14">
        <f t="shared" si="30"/>
        <v>-1.384909264565426E-2</v>
      </c>
      <c r="M34" s="14">
        <f t="shared" si="30"/>
        <v>-9.7087378640776656E-3</v>
      </c>
      <c r="N34" s="27">
        <f t="shared" si="30"/>
        <v>-9.4043887147335914E-3</v>
      </c>
      <c r="O34" s="9" t="s">
        <v>26</v>
      </c>
    </row>
    <row r="35" spans="2:29" ht="12" customHeight="1" x14ac:dyDescent="0.2">
      <c r="C35" s="21" t="s">
        <v>50</v>
      </c>
      <c r="D35" s="28">
        <f>D30-D36</f>
        <v>-7</v>
      </c>
      <c r="E35" s="29">
        <f t="shared" ref="E35:N35" si="31">E30-E36</f>
        <v>-16</v>
      </c>
      <c r="F35" s="29">
        <f t="shared" si="31"/>
        <v>-28</v>
      </c>
      <c r="G35" s="29">
        <f t="shared" si="31"/>
        <v>-37</v>
      </c>
      <c r="H35" s="29">
        <f t="shared" si="31"/>
        <v>-39</v>
      </c>
      <c r="I35" s="29">
        <f t="shared" si="31"/>
        <v>-56</v>
      </c>
      <c r="J35" s="29">
        <f t="shared" si="31"/>
        <v>-57</v>
      </c>
      <c r="K35" s="29">
        <f t="shared" si="31"/>
        <v>-51</v>
      </c>
      <c r="L35" s="29">
        <f t="shared" si="31"/>
        <v>-29</v>
      </c>
      <c r="M35" s="29">
        <f t="shared" si="31"/>
        <v>-21</v>
      </c>
      <c r="N35" s="30">
        <f t="shared" si="31"/>
        <v>-21</v>
      </c>
      <c r="O35" s="9" t="s">
        <v>24</v>
      </c>
      <c r="Q35" s="52" t="s">
        <v>52</v>
      </c>
      <c r="R35" s="53"/>
      <c r="S35" s="54"/>
      <c r="T35" s="49">
        <f>IF(Q35="gekozen run in gemiddelde", 999, R25 )</f>
        <v>999</v>
      </c>
    </row>
    <row r="36" spans="2:29" x14ac:dyDescent="0.2">
      <c r="B36" t="s">
        <v>23</v>
      </c>
      <c r="C36" s="21" t="s">
        <v>19</v>
      </c>
      <c r="D36" s="15">
        <f t="shared" ref="D36:N36" si="32">INDEX(AG3:AG12, $R$27 )</f>
        <v>65</v>
      </c>
      <c r="E36" s="15">
        <f t="shared" si="32"/>
        <v>155</v>
      </c>
      <c r="F36" s="15">
        <f t="shared" si="32"/>
        <v>266</v>
      </c>
      <c r="G36" s="15">
        <f t="shared" si="32"/>
        <v>399</v>
      </c>
      <c r="H36" s="15">
        <f t="shared" si="32"/>
        <v>454</v>
      </c>
      <c r="I36" s="15">
        <f t="shared" si="32"/>
        <v>928</v>
      </c>
      <c r="J36" s="15">
        <f t="shared" si="32"/>
        <v>1053</v>
      </c>
      <c r="K36" s="15">
        <f t="shared" si="32"/>
        <v>1397</v>
      </c>
      <c r="L36" s="15">
        <f t="shared" si="32"/>
        <v>2094</v>
      </c>
      <c r="M36" s="15">
        <f t="shared" si="32"/>
        <v>2163</v>
      </c>
      <c r="N36" s="17">
        <f t="shared" si="32"/>
        <v>2233</v>
      </c>
      <c r="O36" s="9" t="s">
        <v>24</v>
      </c>
    </row>
    <row r="37" spans="2:29" x14ac:dyDescent="0.2">
      <c r="C37" s="21" t="s">
        <v>20</v>
      </c>
      <c r="D37" s="12">
        <f t="shared" ref="D37:N37" si="33">R$5 / D36 * 3600</f>
        <v>11.076923076923077</v>
      </c>
      <c r="E37" s="12">
        <f t="shared" si="33"/>
        <v>10.451612903225808</v>
      </c>
      <c r="F37" s="12">
        <f t="shared" si="33"/>
        <v>10.285714285714286</v>
      </c>
      <c r="G37" s="12">
        <f t="shared" si="33"/>
        <v>10.375939849624059</v>
      </c>
      <c r="H37" s="12">
        <f t="shared" si="33"/>
        <v>10.466960352422907</v>
      </c>
      <c r="I37" s="12">
        <f t="shared" si="33"/>
        <v>10.396551724137931</v>
      </c>
      <c r="J37" s="12">
        <f t="shared" si="33"/>
        <v>10.427350427350426</v>
      </c>
      <c r="K37" s="12">
        <f t="shared" si="33"/>
        <v>10.436649964209019</v>
      </c>
      <c r="L37" s="12">
        <f t="shared" si="33"/>
        <v>10.263610315186247</v>
      </c>
      <c r="M37" s="12">
        <f t="shared" si="33"/>
        <v>10.252427184466018</v>
      </c>
      <c r="N37" s="23">
        <f t="shared" si="33"/>
        <v>10.334079713390059</v>
      </c>
      <c r="O37" s="9" t="s">
        <v>25</v>
      </c>
      <c r="Q37" s="15"/>
    </row>
    <row r="38" spans="2:29" x14ac:dyDescent="0.2">
      <c r="C38" s="21" t="s">
        <v>22</v>
      </c>
      <c r="D38" s="14">
        <f>D36/D39-1</f>
        <v>4.2780748663101553E-2</v>
      </c>
      <c r="E38" s="14">
        <f t="shared" ref="E38" si="34">E36/E39-1</f>
        <v>3.563474387527843E-2</v>
      </c>
      <c r="F38" s="14">
        <f t="shared" ref="F38" si="35">F36/F39-1</f>
        <v>3.5019455252918386E-2</v>
      </c>
      <c r="G38" s="14">
        <f t="shared" ref="G38" si="36">G36/G39-1</f>
        <v>3.1007751937984551E-2</v>
      </c>
      <c r="H38" s="14">
        <f t="shared" ref="H38" si="37">H36/H39-1</f>
        <v>2.483069977426644E-2</v>
      </c>
      <c r="I38" s="14">
        <f t="shared" ref="I38" si="38">I36/I39-1</f>
        <v>1.7172086225794692E-2</v>
      </c>
      <c r="J38" s="14">
        <f t="shared" ref="J38" si="39">J36/J39-1</f>
        <v>1.2824623276691094E-2</v>
      </c>
      <c r="K38" s="14">
        <f t="shared" ref="K38" si="40">K36/K39-1</f>
        <v>4.0728318160039301E-3</v>
      </c>
      <c r="L38" s="14">
        <f t="shared" ref="L38" si="41">L36/L39-1</f>
        <v>-1.0396975425330801E-2</v>
      </c>
      <c r="M38" s="14">
        <f t="shared" ref="M38" si="42">M36/M39-1</f>
        <v>-1.292972315181018E-2</v>
      </c>
      <c r="N38" s="14">
        <f t="shared" ref="N38" si="43">N36/N39-1</f>
        <v>-1.427310182460273E-2</v>
      </c>
      <c r="O38" s="10" t="s">
        <v>26</v>
      </c>
    </row>
    <row r="39" spans="2:29" x14ac:dyDescent="0.2">
      <c r="B39" t="s">
        <v>21</v>
      </c>
      <c r="C39" s="21" t="s">
        <v>19</v>
      </c>
      <c r="D39" s="15">
        <f>AG1</f>
        <v>62.333333333333336</v>
      </c>
      <c r="E39" s="15">
        <f t="shared" ref="E39:N39" si="44">AH1</f>
        <v>149.66666666666666</v>
      </c>
      <c r="F39" s="15">
        <f t="shared" si="44"/>
        <v>257</v>
      </c>
      <c r="G39" s="15">
        <f t="shared" si="44"/>
        <v>387</v>
      </c>
      <c r="H39" s="15">
        <f t="shared" si="44"/>
        <v>443</v>
      </c>
      <c r="I39" s="15">
        <f t="shared" si="44"/>
        <v>912.33333333333337</v>
      </c>
      <c r="J39" s="15">
        <f t="shared" si="44"/>
        <v>1039.6666666666667</v>
      </c>
      <c r="K39" s="15">
        <f t="shared" si="44"/>
        <v>1391.3333333333333</v>
      </c>
      <c r="L39" s="15">
        <f t="shared" si="44"/>
        <v>2116</v>
      </c>
      <c r="M39" s="15">
        <f t="shared" si="44"/>
        <v>2191.3333333333335</v>
      </c>
      <c r="N39" s="17">
        <f t="shared" si="44"/>
        <v>2265.3333333333335</v>
      </c>
      <c r="O39" s="9" t="s">
        <v>24</v>
      </c>
    </row>
    <row r="40" spans="2:29" x14ac:dyDescent="0.2">
      <c r="C40" s="21" t="s">
        <v>20</v>
      </c>
      <c r="D40" s="12">
        <f t="shared" ref="D40:N40" si="45">R$5 / D39 * 3600</f>
        <v>11.550802139037433</v>
      </c>
      <c r="E40" s="12">
        <f t="shared" si="45"/>
        <v>10.824053452115814</v>
      </c>
      <c r="F40" s="12">
        <f t="shared" si="45"/>
        <v>10.645914396887159</v>
      </c>
      <c r="G40" s="12">
        <f t="shared" si="45"/>
        <v>10.697674418604651</v>
      </c>
      <c r="H40" s="12">
        <f t="shared" si="45"/>
        <v>10.726862302483068</v>
      </c>
      <c r="I40" s="12">
        <f t="shared" si="45"/>
        <v>10.575082206795759</v>
      </c>
      <c r="J40" s="12">
        <f t="shared" si="45"/>
        <v>10.561077268355241</v>
      </c>
      <c r="K40" s="12">
        <f t="shared" si="45"/>
        <v>10.479156684235745</v>
      </c>
      <c r="L40" s="12">
        <f t="shared" si="45"/>
        <v>10.156899810964083</v>
      </c>
      <c r="M40" s="12">
        <f t="shared" si="45"/>
        <v>10.11986613933678</v>
      </c>
      <c r="N40" s="23">
        <f t="shared" si="45"/>
        <v>10.18658034137728</v>
      </c>
      <c r="O40" s="9" t="s">
        <v>25</v>
      </c>
    </row>
    <row r="41" spans="2:29" x14ac:dyDescent="0.2"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0"/>
    </row>
    <row r="44" spans="2:29" x14ac:dyDescent="0.2">
      <c r="V44" s="4" t="s">
        <v>55</v>
      </c>
      <c r="X44" s="6" t="s">
        <v>57</v>
      </c>
      <c r="Y44" t="s">
        <v>56</v>
      </c>
    </row>
    <row r="45" spans="2:29" x14ac:dyDescent="0.2">
      <c r="B45" s="6" t="str">
        <f>"Vergelijking per tussenpunt, " &amp; C45</f>
        <v>Vergelijking per tussenpunt, cumulatief</v>
      </c>
      <c r="C45" s="8" t="s">
        <v>49</v>
      </c>
      <c r="D45" s="1" t="str">
        <f>"Run " &amp; R25</f>
        <v>Run 3</v>
      </c>
      <c r="E45" s="1" t="str">
        <f>"Run " &amp; R27</f>
        <v>Run 2</v>
      </c>
      <c r="F45" s="1" t="s">
        <v>37</v>
      </c>
      <c r="X45">
        <v>1</v>
      </c>
      <c r="Y45" s="50">
        <f t="shared" ref="Y45:Y54" si="46">IF( $V$46="interval", IF($V$48="Volledige run",0,N(INDEX($AG$3:$AQ$12, X45, $V$48)) - IF($V$48=1,0,N(INDEX($AG$3:$AQ$12, X45, $V$48-1)))), N(INDEX($AG$3:$AQ$12, X45, IF($V$48="Volledige run",11,$V$48))))</f>
        <v>2351</v>
      </c>
      <c r="Z45" s="50"/>
      <c r="AA45" s="50"/>
      <c r="AB45" s="50"/>
      <c r="AC45" s="9" t="s">
        <v>24</v>
      </c>
    </row>
    <row r="46" spans="2:29" x14ac:dyDescent="0.2">
      <c r="C46">
        <f>D2</f>
        <v>1</v>
      </c>
      <c r="D46" s="15">
        <f>IF($C$45 = "interval", D17, D30 )</f>
        <v>58</v>
      </c>
      <c r="E46" s="15">
        <f>IF($C$45 = "interval", D23, D36 )</f>
        <v>65</v>
      </c>
      <c r="F46" s="15">
        <f>IF($C$45 = "interval", D26, D39 )</f>
        <v>62.333333333333336</v>
      </c>
      <c r="V46" s="51" t="s">
        <v>49</v>
      </c>
      <c r="W46" s="51"/>
      <c r="X46">
        <v>2</v>
      </c>
      <c r="Y46" s="50">
        <f t="shared" si="46"/>
        <v>2233</v>
      </c>
      <c r="Z46" s="50"/>
      <c r="AA46" s="50"/>
      <c r="AB46" s="50"/>
      <c r="AC46" s="9" t="s">
        <v>24</v>
      </c>
    </row>
    <row r="47" spans="2:29" x14ac:dyDescent="0.2">
      <c r="C47">
        <f>E2</f>
        <v>2</v>
      </c>
      <c r="D47" s="15">
        <f>IF($C$45 = "interval", E17, E30 )</f>
        <v>139</v>
      </c>
      <c r="E47" s="15">
        <f>IF($C$45 = "interval", E23, E36 )</f>
        <v>155</v>
      </c>
      <c r="F47" s="15">
        <f>IF($C$45 = "interval", E26, E39 )</f>
        <v>149.66666666666666</v>
      </c>
      <c r="X47">
        <v>3</v>
      </c>
      <c r="Y47" s="50">
        <f t="shared" si="46"/>
        <v>2212</v>
      </c>
      <c r="Z47" s="50"/>
      <c r="AA47" s="50"/>
      <c r="AB47" s="50"/>
      <c r="AC47" s="9" t="s">
        <v>24</v>
      </c>
    </row>
    <row r="48" spans="2:29" x14ac:dyDescent="0.2">
      <c r="C48">
        <f>F2</f>
        <v>3</v>
      </c>
      <c r="D48" s="15">
        <f>IF($C$45 = "interval", F17, F30 )</f>
        <v>238</v>
      </c>
      <c r="E48" s="15">
        <f>IF($C$45 = "interval", F23, F36 )</f>
        <v>266</v>
      </c>
      <c r="F48" s="15">
        <f>IF($C$45 = "interval", F26, F39 )</f>
        <v>257</v>
      </c>
      <c r="V48" s="51" t="s">
        <v>58</v>
      </c>
      <c r="W48" s="51"/>
      <c r="X48">
        <v>4</v>
      </c>
      <c r="Y48" s="50">
        <f t="shared" si="46"/>
        <v>0</v>
      </c>
      <c r="Z48" s="50"/>
      <c r="AA48" s="50"/>
      <c r="AB48" s="50"/>
      <c r="AC48" s="9" t="s">
        <v>24</v>
      </c>
    </row>
    <row r="49" spans="3:29" x14ac:dyDescent="0.2">
      <c r="C49">
        <f>G2</f>
        <v>4</v>
      </c>
      <c r="D49" s="15">
        <f>IF($C$45 = "interval", G17, G30 )</f>
        <v>362</v>
      </c>
      <c r="E49" s="15">
        <f>IF($C$45 = "interval", G23, G36 )</f>
        <v>399</v>
      </c>
      <c r="F49" s="15">
        <f>IF($C$45 = "interval", G26, G39 )</f>
        <v>387</v>
      </c>
      <c r="X49">
        <v>5</v>
      </c>
      <c r="Y49" s="50">
        <f t="shared" si="46"/>
        <v>0</v>
      </c>
      <c r="Z49" s="50"/>
      <c r="AA49" s="50"/>
      <c r="AB49" s="50"/>
      <c r="AC49" s="9" t="s">
        <v>24</v>
      </c>
    </row>
    <row r="50" spans="3:29" x14ac:dyDescent="0.2">
      <c r="C50">
        <f>H2</f>
        <v>5</v>
      </c>
      <c r="D50" s="15">
        <f>IF($C$45 = "interval", H17, H30 )</f>
        <v>415</v>
      </c>
      <c r="E50" s="15">
        <f>IF($C$45 = "interval", H23, H36 )</f>
        <v>454</v>
      </c>
      <c r="F50" s="15">
        <f>IF($C$45 = "interval", H26, H39 )</f>
        <v>443</v>
      </c>
      <c r="X50">
        <v>6</v>
      </c>
      <c r="Y50" s="50">
        <f t="shared" si="46"/>
        <v>0</v>
      </c>
      <c r="Z50" s="50"/>
      <c r="AA50" s="50"/>
      <c r="AB50" s="50"/>
      <c r="AC50" s="9" t="s">
        <v>24</v>
      </c>
    </row>
    <row r="51" spans="3:29" x14ac:dyDescent="0.2">
      <c r="C51">
        <f>I2</f>
        <v>6</v>
      </c>
      <c r="D51" s="15">
        <f>IF($C$45 = "interval", I17, I30 )</f>
        <v>872</v>
      </c>
      <c r="E51" s="15">
        <f>IF($C$45 = "interval", I23, I36 )</f>
        <v>928</v>
      </c>
      <c r="F51" s="15">
        <f>IF($C$45 = "interval", I26, I39 )</f>
        <v>912.33333333333337</v>
      </c>
      <c r="X51">
        <v>7</v>
      </c>
      <c r="Y51" s="50">
        <f t="shared" si="46"/>
        <v>0</v>
      </c>
      <c r="Z51" s="50"/>
      <c r="AA51" s="50"/>
      <c r="AB51" s="50"/>
      <c r="AC51" s="9" t="s">
        <v>24</v>
      </c>
    </row>
    <row r="52" spans="3:29" x14ac:dyDescent="0.2">
      <c r="C52">
        <f>J2</f>
        <v>7</v>
      </c>
      <c r="D52" s="15">
        <f>IF($C$45 = "interval", J17, J30 )</f>
        <v>996</v>
      </c>
      <c r="E52" s="15">
        <f>IF($C$45 = "interval", J23, J36 )</f>
        <v>1053</v>
      </c>
      <c r="F52" s="15">
        <f>IF($C$45 = "interval", J26, J39 )</f>
        <v>1039.6666666666667</v>
      </c>
      <c r="X52">
        <v>8</v>
      </c>
      <c r="Y52" s="50">
        <f t="shared" si="46"/>
        <v>0</v>
      </c>
      <c r="Z52" s="50"/>
      <c r="AA52" s="50"/>
      <c r="AB52" s="50"/>
      <c r="AC52" s="9" t="s">
        <v>24</v>
      </c>
    </row>
    <row r="53" spans="3:29" x14ac:dyDescent="0.2">
      <c r="C53">
        <f>K2</f>
        <v>8</v>
      </c>
      <c r="D53" s="15">
        <f>IF($C$45 = "interval", K17, K30 )</f>
        <v>1346</v>
      </c>
      <c r="E53" s="15">
        <f>IF($C$45 = "interval", K23, K36 )</f>
        <v>1397</v>
      </c>
      <c r="F53" s="15">
        <f>IF($C$45 = "interval", K26, K39 )</f>
        <v>1391.3333333333333</v>
      </c>
      <c r="X53">
        <v>9</v>
      </c>
      <c r="Y53" s="50">
        <f t="shared" si="46"/>
        <v>0</v>
      </c>
      <c r="Z53" s="50"/>
      <c r="AA53" s="50"/>
      <c r="AB53" s="50"/>
      <c r="AC53" s="9" t="s">
        <v>24</v>
      </c>
    </row>
    <row r="54" spans="3:29" x14ac:dyDescent="0.2">
      <c r="C54">
        <f>L2</f>
        <v>9</v>
      </c>
      <c r="D54" s="15">
        <f>IF($C$45 = "interval", L17, L30 )</f>
        <v>2065</v>
      </c>
      <c r="E54" s="15">
        <f>IF($C$45 = "interval", L23, L36 )</f>
        <v>2094</v>
      </c>
      <c r="F54" s="15">
        <f>IF($C$45 = "interval", L26, L39 )</f>
        <v>2116</v>
      </c>
      <c r="X54">
        <v>10</v>
      </c>
      <c r="Y54" s="50">
        <f t="shared" si="46"/>
        <v>0</v>
      </c>
      <c r="Z54" s="50"/>
      <c r="AA54" s="50"/>
      <c r="AB54" s="50"/>
      <c r="AC54" s="9" t="s">
        <v>24</v>
      </c>
    </row>
    <row r="55" spans="3:29" x14ac:dyDescent="0.2">
      <c r="C55">
        <f>M2</f>
        <v>10</v>
      </c>
      <c r="D55" s="15">
        <f>IF($C$45 = "interval", M17, M30 )</f>
        <v>2142</v>
      </c>
      <c r="E55" s="15">
        <f>IF($C$45 = "interval", M23, M36 )</f>
        <v>2163</v>
      </c>
      <c r="F55" s="15">
        <f>IF($C$45 = "interval", M26, M39 )</f>
        <v>2191.3333333333335</v>
      </c>
    </row>
    <row r="56" spans="3:29" x14ac:dyDescent="0.2">
      <c r="C56">
        <f>N2</f>
        <v>11</v>
      </c>
      <c r="D56" s="15">
        <f>IF($C$45 = "interval", N17, N30 )</f>
        <v>2212</v>
      </c>
      <c r="E56" s="15">
        <f>IF($C$45 = "interval", N23, N36 )</f>
        <v>2233</v>
      </c>
      <c r="F56" s="15">
        <f>IF($C$45 = "interval", N26, N39 )</f>
        <v>2265.3333333333335</v>
      </c>
    </row>
  </sheetData>
  <mergeCells count="13">
    <mergeCell ref="Y50:AB50"/>
    <mergeCell ref="Y51:AB51"/>
    <mergeCell ref="Y52:AB52"/>
    <mergeCell ref="Y53:AB53"/>
    <mergeCell ref="Y54:AB54"/>
    <mergeCell ref="Y49:AB49"/>
    <mergeCell ref="V46:W46"/>
    <mergeCell ref="V48:W48"/>
    <mergeCell ref="Q35:S35"/>
    <mergeCell ref="Y45:AB45"/>
    <mergeCell ref="Y46:AB46"/>
    <mergeCell ref="Y47:AB47"/>
    <mergeCell ref="Y48:AB48"/>
  </mergeCells>
  <phoneticPr fontId="12" type="noConversion"/>
  <conditionalFormatting sqref="D19:N22 D25:N25 D32:N35 D38:N38">
    <cfRule type="cellIs" dxfId="0" priority="9" operator="lessThanOrEqual">
      <formula>0</formula>
    </cfRule>
  </conditionalFormatting>
  <conditionalFormatting sqref="Y45:Y5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{51AE231C-B5FD-4C51-B383-BFF7F3184E3A}</x14:id>
        </ext>
      </extLst>
    </cfRule>
  </conditionalFormatting>
  <dataValidations count="4">
    <dataValidation type="list" allowBlank="1" showInputMessage="1" showErrorMessage="1" sqref="R25" xr:uid="{8999F004-12A7-40EC-A34D-E2189EFDB471}">
      <formula1>$B$3:$B$12</formula1>
    </dataValidation>
    <dataValidation type="list" allowBlank="1" showInputMessage="1" showErrorMessage="1" sqref="C45 V46" xr:uid="{D7636518-AC9E-44BB-8A17-D83E62497B41}">
      <formula1>"interval,cumulatief"</formula1>
    </dataValidation>
    <dataValidation type="list" allowBlank="1" showInputMessage="1" showErrorMessage="1" sqref="Q35:S35" xr:uid="{66021906-090B-4DAD-8EBF-FF40FAADBBB1}">
      <formula1>"gekozen run in gemiddelde,gekozen run niet in gemiddelde"</formula1>
    </dataValidation>
    <dataValidation type="list" allowBlank="1" showInputMessage="1" showErrorMessage="1" sqref="V48:W48" xr:uid="{F5E40310-2A65-441F-B023-A95413A994C9}">
      <formula1>"Volledige run,1,2,3,4,5,6,7,8,9,10,11"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AE231C-B5FD-4C51-B383-BFF7F3184E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Y45:Y54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CB09C-303B-4F06-BDE0-6EEEDC24EBDB}">
  <dimension ref="A1:S22"/>
  <sheetViews>
    <sheetView showGridLines="0" showRowColHeaders="0" topLeftCell="H1" zoomScaleNormal="100" workbookViewId="0">
      <selection activeCell="H1" sqref="H1"/>
    </sheetView>
  </sheetViews>
  <sheetFormatPr defaultRowHeight="15" x14ac:dyDescent="0.25"/>
  <cols>
    <col min="1" max="1" width="8.83203125" style="34" hidden="1" customWidth="1"/>
    <col min="2" max="5" width="9.1640625" style="34" hidden="1" customWidth="1"/>
    <col min="6" max="6" width="8.83203125" style="34" hidden="1" customWidth="1"/>
    <col min="7" max="7" width="10.5" style="34" hidden="1" customWidth="1"/>
    <col min="8" max="16384" width="9.33203125" style="34"/>
  </cols>
  <sheetData>
    <row r="1" spans="1:19" s="32" customFormat="1" x14ac:dyDescent="0.25">
      <c r="B1" s="32" t="s">
        <v>71</v>
      </c>
      <c r="C1" s="32" t="s">
        <v>70</v>
      </c>
      <c r="D1" s="32" t="s">
        <v>72</v>
      </c>
      <c r="E1" s="32" t="s">
        <v>73</v>
      </c>
      <c r="F1" s="32" t="s">
        <v>53</v>
      </c>
      <c r="G1" s="33" t="s">
        <v>56</v>
      </c>
      <c r="I1" s="34"/>
      <c r="J1" s="34"/>
      <c r="K1" s="34"/>
      <c r="L1" s="34"/>
      <c r="M1" s="34"/>
      <c r="N1" s="34"/>
      <c r="O1" s="34"/>
      <c r="P1" s="34"/>
    </row>
    <row r="2" spans="1:19" x14ac:dyDescent="0.25">
      <c r="A2" s="34" t="str">
        <f>" "</f>
        <v xml:space="preserve"> </v>
      </c>
      <c r="B2" s="34" t="str">
        <f>" "</f>
        <v xml:space="preserve"> </v>
      </c>
      <c r="I2" s="52" t="s">
        <v>74</v>
      </c>
      <c r="J2" s="53"/>
      <c r="K2" s="54"/>
      <c r="M2" s="52" t="s">
        <v>75</v>
      </c>
      <c r="N2" s="53"/>
      <c r="O2" s="54"/>
      <c r="R2" s="44" t="str">
        <f>"Vergelijking van run " &amp; Data!R25 &amp; " (" &amp; TEXT( Data!S25, "dd/mm") &amp; ") tov " &amp; IF(I2="tov gemiddelde", "het gemiddelde", "run " &amp; Data!R27 &amp; " (" &amp; TEXT( Data!S27, "dd/mm") &amp; ")") &amp; " - " &amp; M2</f>
        <v>Vergelijking van run 3 (22/07) tov run 2 (17/07) - in sec</v>
      </c>
      <c r="S2" s="44">
        <f>IF(M2="in sec",1,G3/100)</f>
        <v>1</v>
      </c>
    </row>
    <row r="3" spans="1:19" x14ac:dyDescent="0.25">
      <c r="A3" s="34" t="s">
        <v>53</v>
      </c>
      <c r="B3" s="35"/>
      <c r="C3" s="35"/>
      <c r="D3" s="35"/>
      <c r="E3" s="35"/>
      <c r="F3" s="36">
        <f>G3 / nFactor</f>
        <v>2233</v>
      </c>
      <c r="G3" s="37">
        <f>IF($I$2="tov gemiddelde", Data!$N$39, Data!$N$36 )</f>
        <v>2233</v>
      </c>
    </row>
    <row r="4" spans="1:19" x14ac:dyDescent="0.25">
      <c r="A4" s="34">
        <v>1</v>
      </c>
      <c r="B4" s="38">
        <f t="shared" ref="B4:B14" si="0">B3 - IFERROR(E4, 0) + F3 + IFERROR( D4, 0 )</f>
        <v>2226</v>
      </c>
      <c r="C4" s="35"/>
      <c r="D4" s="43" t="e">
        <f t="shared" ref="D4:D14" si="1">IF(G4&gt;0,G4/nFactor,NA())</f>
        <v>#N/A</v>
      </c>
      <c r="E4" s="42">
        <f t="shared" ref="E4:E14" si="2">IF(G4&lt;=0,ABS(G4)/nFactor,NA())</f>
        <v>7</v>
      </c>
      <c r="F4" s="35"/>
      <c r="G4" s="37">
        <f>IF($I$2="tov gemiddelde", Data!$D$20, Data!$D$22 )</f>
        <v>-7</v>
      </c>
    </row>
    <row r="5" spans="1:19" x14ac:dyDescent="0.25">
      <c r="A5" s="34">
        <v>2</v>
      </c>
      <c r="B5" s="38">
        <f t="shared" si="0"/>
        <v>2217</v>
      </c>
      <c r="C5" s="35"/>
      <c r="D5" s="43" t="e">
        <f t="shared" si="1"/>
        <v>#N/A</v>
      </c>
      <c r="E5" s="42">
        <f t="shared" si="2"/>
        <v>9</v>
      </c>
      <c r="F5" s="35"/>
      <c r="G5" s="37">
        <f>IF($I$2="tov gemiddelde", Data!$E$20, Data!$E$22 )</f>
        <v>-9</v>
      </c>
    </row>
    <row r="6" spans="1:19" x14ac:dyDescent="0.25">
      <c r="A6" s="34">
        <v>3</v>
      </c>
      <c r="B6" s="38">
        <f t="shared" si="0"/>
        <v>2205</v>
      </c>
      <c r="C6" s="35"/>
      <c r="D6" s="43" t="e">
        <f t="shared" si="1"/>
        <v>#N/A</v>
      </c>
      <c r="E6" s="42">
        <f t="shared" si="2"/>
        <v>12</v>
      </c>
      <c r="F6" s="35"/>
      <c r="G6" s="37">
        <f>IF($I$2="tov gemiddelde", Data!$F$20, Data!$F$22 )</f>
        <v>-12</v>
      </c>
    </row>
    <row r="7" spans="1:19" x14ac:dyDescent="0.25">
      <c r="A7" s="34">
        <v>4</v>
      </c>
      <c r="B7" s="38">
        <f t="shared" si="0"/>
        <v>2196</v>
      </c>
      <c r="C7" s="35"/>
      <c r="D7" s="43" t="e">
        <f t="shared" si="1"/>
        <v>#N/A</v>
      </c>
      <c r="E7" s="42">
        <f t="shared" si="2"/>
        <v>9</v>
      </c>
      <c r="F7" s="35"/>
      <c r="G7" s="37">
        <f>IF($I$2="tov gemiddelde", Data!$G$20, Data!$G$22 )</f>
        <v>-9</v>
      </c>
    </row>
    <row r="8" spans="1:19" x14ac:dyDescent="0.25">
      <c r="A8" s="34">
        <v>5</v>
      </c>
      <c r="B8" s="38">
        <f t="shared" si="0"/>
        <v>2194</v>
      </c>
      <c r="C8" s="35"/>
      <c r="D8" s="43" t="e">
        <f t="shared" si="1"/>
        <v>#N/A</v>
      </c>
      <c r="E8" s="42">
        <f t="shared" si="2"/>
        <v>2</v>
      </c>
      <c r="F8" s="35"/>
      <c r="G8" s="37">
        <f>IF($I$2="tov gemiddelde", Data!$H$20, Data!$H$22 )</f>
        <v>-2</v>
      </c>
    </row>
    <row r="9" spans="1:19" x14ac:dyDescent="0.25">
      <c r="A9" s="34">
        <v>6</v>
      </c>
      <c r="B9" s="38">
        <f t="shared" si="0"/>
        <v>2177</v>
      </c>
      <c r="C9" s="35"/>
      <c r="D9" s="43" t="e">
        <f t="shared" si="1"/>
        <v>#N/A</v>
      </c>
      <c r="E9" s="42">
        <f t="shared" si="2"/>
        <v>17</v>
      </c>
      <c r="F9" s="35"/>
      <c r="G9" s="37">
        <f>IF($I$2="tov gemiddelde", Data!$I$20, Data!$I$22 )</f>
        <v>-17</v>
      </c>
    </row>
    <row r="10" spans="1:19" x14ac:dyDescent="0.25">
      <c r="A10" s="34">
        <v>7</v>
      </c>
      <c r="B10" s="38">
        <f t="shared" si="0"/>
        <v>2176</v>
      </c>
      <c r="C10" s="35"/>
      <c r="D10" s="43" t="e">
        <f t="shared" si="1"/>
        <v>#N/A</v>
      </c>
      <c r="E10" s="42">
        <f t="shared" si="2"/>
        <v>1</v>
      </c>
      <c r="F10" s="35"/>
      <c r="G10" s="37">
        <f>IF($I$2="tov gemiddelde", Data!$J$20, Data!$J$22 )</f>
        <v>-1</v>
      </c>
    </row>
    <row r="11" spans="1:19" x14ac:dyDescent="0.25">
      <c r="A11" s="34">
        <v>8</v>
      </c>
      <c r="B11" s="38">
        <f t="shared" si="0"/>
        <v>2182</v>
      </c>
      <c r="C11" s="35"/>
      <c r="D11" s="43">
        <f t="shared" si="1"/>
        <v>6</v>
      </c>
      <c r="E11" s="42" t="e">
        <f t="shared" si="2"/>
        <v>#N/A</v>
      </c>
      <c r="F11" s="35"/>
      <c r="G11" s="37">
        <f>IF($I$2="tov gemiddelde", Data!$K$20, Data!$K$22 )</f>
        <v>6</v>
      </c>
    </row>
    <row r="12" spans="1:19" x14ac:dyDescent="0.25">
      <c r="A12" s="34">
        <v>9</v>
      </c>
      <c r="B12" s="38">
        <f t="shared" si="0"/>
        <v>2204</v>
      </c>
      <c r="C12" s="35"/>
      <c r="D12" s="43">
        <f t="shared" si="1"/>
        <v>22</v>
      </c>
      <c r="E12" s="42" t="e">
        <f t="shared" si="2"/>
        <v>#N/A</v>
      </c>
      <c r="F12" s="35"/>
      <c r="G12" s="37">
        <f>IF($I$2="tov gemiddelde", Data!$L$20, Data!$L$22 )</f>
        <v>22</v>
      </c>
    </row>
    <row r="13" spans="1:19" x14ac:dyDescent="0.25">
      <c r="A13" s="34">
        <v>10</v>
      </c>
      <c r="B13" s="38">
        <f t="shared" si="0"/>
        <v>2212</v>
      </c>
      <c r="C13" s="35"/>
      <c r="D13" s="43">
        <f t="shared" si="1"/>
        <v>8</v>
      </c>
      <c r="E13" s="42" t="e">
        <f t="shared" si="2"/>
        <v>#N/A</v>
      </c>
      <c r="F13" s="35"/>
      <c r="G13" s="37">
        <f>IF($I$2="tov gemiddelde", Data!$M$20, Data!$M$22 )</f>
        <v>8</v>
      </c>
    </row>
    <row r="14" spans="1:19" x14ac:dyDescent="0.25">
      <c r="A14" s="34">
        <v>11</v>
      </c>
      <c r="B14" s="38">
        <f t="shared" si="0"/>
        <v>2212</v>
      </c>
      <c r="C14" s="35"/>
      <c r="D14" s="43" t="e">
        <f t="shared" si="1"/>
        <v>#N/A</v>
      </c>
      <c r="E14" s="42">
        <f t="shared" si="2"/>
        <v>0</v>
      </c>
      <c r="F14" s="35"/>
      <c r="G14" s="37">
        <f>IF($I$2="tov gemiddelde", Data!$N$20, Data!$N$22 )</f>
        <v>0</v>
      </c>
    </row>
    <row r="15" spans="1:19" x14ac:dyDescent="0.25">
      <c r="A15" s="39" t="s">
        <v>70</v>
      </c>
      <c r="B15" s="35"/>
      <c r="C15" s="36">
        <f>B14</f>
        <v>2212</v>
      </c>
      <c r="D15" s="35"/>
      <c r="E15" s="35"/>
      <c r="F15" s="35"/>
      <c r="G15" s="35">
        <f>SUM(G3:G14)</f>
        <v>2212</v>
      </c>
    </row>
    <row r="18" spans="1:10" x14ac:dyDescent="0.25">
      <c r="J18" s="40"/>
    </row>
    <row r="22" spans="1:10" x14ac:dyDescent="0.25">
      <c r="A22" s="41" t="s">
        <v>54</v>
      </c>
    </row>
  </sheetData>
  <mergeCells count="2">
    <mergeCell ref="I2:K2"/>
    <mergeCell ref="M2:O2"/>
  </mergeCells>
  <dataValidations count="2">
    <dataValidation type="list" allowBlank="1" showInputMessage="1" showErrorMessage="1" sqref="I2:K2" xr:uid="{F9A52EB3-815B-4DFE-8A85-9933DF7457B4}">
      <formula1>"tov gemiddelde,tov vorige"</formula1>
    </dataValidation>
    <dataValidation type="list" allowBlank="1" showInputMessage="1" showErrorMessage="1" sqref="M2:O2" xr:uid="{6ACE73DB-0B35-434A-9FBA-7313B7E5D678}">
      <formula1>"in sec,in %"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Waterval</vt:lpstr>
      <vt:lpstr>nFactor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Gielis</dc:creator>
  <cp:lastModifiedBy>Wim Gielis</cp:lastModifiedBy>
  <dcterms:created xsi:type="dcterms:W3CDTF">2019-07-07T22:17:59Z</dcterms:created>
  <dcterms:modified xsi:type="dcterms:W3CDTF">2019-08-17T09:42:35Z</dcterms:modified>
</cp:coreProperties>
</file>