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2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60" windowWidth="10785" windowHeight="12375"/>
  </bookViews>
  <sheets>
    <sheet name="rooster en stand" sheetId="1" r:id="rId1"/>
    <sheet name="export html" sheetId="4" state="hidden" r:id="rId2"/>
    <sheet name="kalender" sheetId="2" r:id="rId3"/>
    <sheet name="spelersstatistieken" sheetId="3" r:id="rId4"/>
  </sheets>
  <functionGroups builtInGroupCount="18"/>
  <definedNames>
    <definedName name="datums">'rooster en stand'!$AW$5:$BL$20</definedName>
    <definedName name="datumsploeg">'rooster en stand'!$AW$13:$BL$13,'rooster en stand'!$BE$5:$BE$20</definedName>
    <definedName name="HulpberekeningenStand">'rooster en stand'!$BN$5:$BZ$20</definedName>
    <definedName name="matchen_vandaag">'rooster en stand'!$AD$16,'rooster en stand'!$AE$15,'rooster en stand'!$Q$14,'rooster en stand'!$AC$12,'rooster en stand'!$R$11,'rooster en stand'!$Y$10,'rooster en stand'!$AF$9,'rooster en stand'!$S$8</definedName>
    <definedName name="MatchenPerPloeg">'export html'!$AR$5</definedName>
    <definedName name="OngekendeDatums">'export html'!$AR$1</definedName>
    <definedName name="speeldagen">'rooster en stand'!$AG$5:$AV$20</definedName>
    <definedName name="speeldagenploeg">'rooster en stand'!$AG$13:$AV$13,'rooster en stand'!$AO$5:$AO$20</definedName>
    <definedName name="StandBer">'export html'!$AR$2</definedName>
    <definedName name="uitslagen">'rooster en stand'!$Q$5:$AF$20</definedName>
    <definedName name="VOspd">'export html'!$AR$3</definedName>
  </definedNames>
  <calcPr calcId="152511"/>
</workbook>
</file>

<file path=xl/calcChain.xml><?xml version="1.0" encoding="utf-8"?>
<calcChain xmlns="http://schemas.openxmlformats.org/spreadsheetml/2006/main">
  <c r="C4" i="3" l="1"/>
  <c r="C5" i="3" l="1"/>
  <c r="C16" i="3"/>
  <c r="C11" i="3" l="1"/>
  <c r="C13" i="3"/>
  <c r="C15" i="3"/>
  <c r="C7" i="3"/>
  <c r="C9" i="3"/>
  <c r="C10" i="3"/>
  <c r="C17" i="3"/>
  <c r="C3" i="3"/>
  <c r="C12" i="3"/>
  <c r="C6" i="3"/>
  <c r="C2" i="3"/>
  <c r="C8" i="3"/>
  <c r="C14" i="3"/>
  <c r="C18" i="3"/>
  <c r="C19" i="3"/>
  <c r="AF1" i="4"/>
  <c r="AE3" i="4" s="1"/>
  <c r="AR6" i="4"/>
  <c r="D3" i="2"/>
  <c r="F3" i="2"/>
  <c r="G3" i="2"/>
  <c r="D4" i="2"/>
  <c r="F4" i="2"/>
  <c r="G4" i="2"/>
  <c r="D5" i="2"/>
  <c r="F5" i="2"/>
  <c r="G5" i="2"/>
  <c r="D6" i="2"/>
  <c r="F6" i="2"/>
  <c r="G6" i="2"/>
  <c r="D7" i="2"/>
  <c r="F7" i="2"/>
  <c r="G7" i="2"/>
  <c r="D8" i="2"/>
  <c r="F8" i="2"/>
  <c r="G8" i="2"/>
  <c r="D9" i="2"/>
  <c r="F9" i="2"/>
  <c r="G9" i="2"/>
  <c r="D10" i="2"/>
  <c r="F10" i="2"/>
  <c r="G10" i="2"/>
  <c r="D11" i="2"/>
  <c r="F11" i="2"/>
  <c r="G11" i="2"/>
  <c r="D12" i="2"/>
  <c r="F12" i="2"/>
  <c r="G12" i="2"/>
  <c r="D13" i="2"/>
  <c r="F13" i="2"/>
  <c r="G13" i="2"/>
  <c r="D14" i="2"/>
  <c r="F14" i="2"/>
  <c r="G14" i="2"/>
  <c r="D15" i="2"/>
  <c r="F15" i="2"/>
  <c r="G15" i="2"/>
  <c r="D16" i="2"/>
  <c r="F16" i="2"/>
  <c r="G16" i="2"/>
  <c r="D17" i="2"/>
  <c r="F17" i="2"/>
  <c r="G17" i="2"/>
  <c r="D18" i="2"/>
  <c r="F18" i="2"/>
  <c r="G18" i="2"/>
  <c r="D19" i="2"/>
  <c r="F19" i="2"/>
  <c r="G19" i="2"/>
  <c r="D20" i="2"/>
  <c r="F20" i="2"/>
  <c r="G20" i="2"/>
  <c r="D21" i="2"/>
  <c r="F21" i="2"/>
  <c r="G21" i="2"/>
  <c r="D22" i="2"/>
  <c r="F22" i="2"/>
  <c r="G22" i="2"/>
  <c r="D23" i="2"/>
  <c r="F23" i="2"/>
  <c r="G23" i="2"/>
  <c r="D24" i="2"/>
  <c r="F24" i="2"/>
  <c r="G24" i="2"/>
  <c r="D25" i="2"/>
  <c r="F25" i="2"/>
  <c r="G25" i="2"/>
  <c r="D26" i="2"/>
  <c r="F26" i="2"/>
  <c r="G26" i="2"/>
  <c r="D27" i="2"/>
  <c r="F27" i="2"/>
  <c r="G27" i="2"/>
  <c r="D28" i="2"/>
  <c r="F28" i="2"/>
  <c r="G28" i="2"/>
  <c r="D29" i="2"/>
  <c r="F29" i="2"/>
  <c r="G29" i="2"/>
  <c r="D30" i="2"/>
  <c r="F30" i="2"/>
  <c r="G30" i="2"/>
  <c r="D31" i="2"/>
  <c r="F31" i="2"/>
  <c r="G31" i="2"/>
  <c r="D32" i="2"/>
  <c r="F32" i="2"/>
  <c r="G32" i="2"/>
  <c r="AR1" i="4"/>
  <c r="CE5" i="1"/>
  <c r="CE22" i="1"/>
  <c r="CE39" i="1"/>
  <c r="DE5" i="1"/>
  <c r="DE22" i="1"/>
  <c r="DE39" i="1"/>
  <c r="CR39" i="1"/>
  <c r="DA23" i="1"/>
  <c r="DA24" i="1"/>
  <c r="CN7" i="1"/>
  <c r="CN24" i="1"/>
  <c r="CN41" i="1"/>
  <c r="CR7" i="1"/>
  <c r="CR24" i="1"/>
  <c r="CR41" i="1"/>
  <c r="CN26" i="1"/>
  <c r="CR26" i="1"/>
  <c r="DA27" i="1"/>
  <c r="CF45" i="1"/>
  <c r="DE28" i="1"/>
  <c r="CR29" i="1"/>
  <c r="DE47" i="1"/>
  <c r="DA31" i="1"/>
  <c r="CN14" i="1"/>
  <c r="CN31" i="1"/>
  <c r="CN48" i="1"/>
  <c r="DI14" i="1"/>
  <c r="DE32" i="1"/>
  <c r="DI15" i="1"/>
  <c r="DI32" i="1"/>
  <c r="DI49" i="1"/>
  <c r="CF16" i="1"/>
  <c r="CF33" i="1"/>
  <c r="CF50" i="1"/>
  <c r="CF35" i="1"/>
  <c r="CF18" i="1"/>
  <c r="CF52" i="1"/>
  <c r="CJ35" i="1"/>
  <c r="DE52" i="1"/>
  <c r="CR18" i="1"/>
  <c r="CR52" i="1"/>
  <c r="CF36" i="1"/>
  <c r="CJ36" i="1"/>
  <c r="DG36" i="1"/>
  <c r="CU22" i="1"/>
  <c r="CY22" i="1"/>
  <c r="CL5" i="1"/>
  <c r="CN22" i="1"/>
  <c r="CO5" i="1"/>
  <c r="CC23" i="1"/>
  <c r="CC40" i="1"/>
  <c r="CY23" i="1"/>
  <c r="DA6" i="1"/>
  <c r="CO6" i="1"/>
  <c r="CO23" i="1"/>
  <c r="CO40" i="1"/>
  <c r="CC24" i="1"/>
  <c r="CD24" i="1"/>
  <c r="CH7" i="1"/>
  <c r="CH41" i="1"/>
  <c r="CO7" i="1"/>
  <c r="CC25" i="1"/>
  <c r="CD8" i="1"/>
  <c r="DF8" i="1"/>
  <c r="DF42" i="1"/>
  <c r="CP25" i="1"/>
  <c r="CT26" i="1"/>
  <c r="CD9" i="1"/>
  <c r="CD26" i="1"/>
  <c r="CD43" i="1"/>
  <c r="CH9" i="1"/>
  <c r="CO26" i="1"/>
  <c r="CT27" i="1"/>
  <c r="CD27" i="1"/>
  <c r="DF27" i="1"/>
  <c r="CC11" i="1"/>
  <c r="CC28" i="1"/>
  <c r="CC45" i="1"/>
  <c r="CU28" i="1"/>
  <c r="CI12" i="1"/>
  <c r="CZ12" i="1"/>
  <c r="CO28" i="1"/>
  <c r="CO11" i="1"/>
  <c r="CO45" i="1"/>
  <c r="DF28" i="1"/>
  <c r="CI16" i="1"/>
  <c r="CZ16" i="1"/>
  <c r="CI29" i="1"/>
  <c r="CI46" i="1"/>
  <c r="CZ46" i="1"/>
  <c r="DF45" i="1"/>
  <c r="CI33" i="1"/>
  <c r="CZ33" i="1"/>
  <c r="CZ50" i="1"/>
  <c r="CZ29" i="1"/>
  <c r="DF11" i="1"/>
  <c r="CY11" i="1"/>
  <c r="CY28" i="1"/>
  <c r="CY45" i="1"/>
  <c r="CP28" i="1"/>
  <c r="CP11" i="1"/>
  <c r="CP45" i="1"/>
  <c r="CC12" i="1"/>
  <c r="CC29" i="1"/>
  <c r="CC46" i="1"/>
  <c r="CU12" i="1"/>
  <c r="CU29" i="1"/>
  <c r="CU46" i="1"/>
  <c r="CY12" i="1"/>
  <c r="CO29" i="1"/>
  <c r="DG46" i="1"/>
  <c r="CT30" i="1"/>
  <c r="CD30" i="1"/>
  <c r="DF13" i="1"/>
  <c r="CP13" i="1"/>
  <c r="CT14" i="1"/>
  <c r="CT48" i="1" s="1"/>
  <c r="CT31" i="1"/>
  <c r="CD31" i="1"/>
  <c r="CW14" i="1"/>
  <c r="CH31" i="1"/>
  <c r="CH48" i="1"/>
  <c r="CO31" i="1"/>
  <c r="CU15" i="1"/>
  <c r="DF49" i="1"/>
  <c r="CP15" i="1"/>
  <c r="CT33" i="1"/>
  <c r="CU16" i="1"/>
  <c r="CY33" i="1"/>
  <c r="DB16" i="1"/>
  <c r="CO33" i="1"/>
  <c r="DG16" i="1"/>
  <c r="CT17" i="1"/>
  <c r="CT34" i="1"/>
  <c r="CT51" i="1"/>
  <c r="CH17" i="1"/>
  <c r="DA17" i="1"/>
  <c r="DB34" i="1"/>
  <c r="CP17" i="1"/>
  <c r="CP34" i="1"/>
  <c r="CC35" i="1"/>
  <c r="CU18" i="1"/>
  <c r="DB18" i="1"/>
  <c r="DB35" i="1"/>
  <c r="DB52" i="1"/>
  <c r="CO18" i="1"/>
  <c r="CC36" i="1"/>
  <c r="CU36" i="1"/>
  <c r="CY53" i="1"/>
  <c r="DF19" i="1"/>
  <c r="DF36" i="1"/>
  <c r="DF53" i="1"/>
  <c r="CT20" i="1"/>
  <c r="CU20" i="1"/>
  <c r="CY37" i="1"/>
  <c r="CY20" i="1"/>
  <c r="CY54" i="1"/>
  <c r="CP33" i="1"/>
  <c r="CP50" i="1"/>
  <c r="DC34" i="1"/>
  <c r="AA3" i="1"/>
  <c r="BL3" i="1"/>
  <c r="BK3" i="1"/>
  <c r="BJ3" i="1"/>
  <c r="BI3" i="1"/>
  <c r="BH3" i="1"/>
  <c r="BG3" i="1"/>
  <c r="BF3" i="1"/>
  <c r="BE3" i="1"/>
  <c r="BD3" i="1"/>
  <c r="BC3" i="1"/>
  <c r="BB3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Z3" i="1"/>
  <c r="Y3" i="1"/>
  <c r="X3" i="1"/>
  <c r="W3" i="1"/>
  <c r="V3" i="1"/>
  <c r="U3" i="1"/>
  <c r="T3" i="1"/>
  <c r="S3" i="1"/>
  <c r="R3" i="1"/>
  <c r="Q3" i="1"/>
  <c r="B23" i="3"/>
  <c r="D4" i="4"/>
  <c r="N34" i="1" s="1"/>
  <c r="D5" i="4"/>
  <c r="N35" i="1" s="1"/>
  <c r="D6" i="4"/>
  <c r="N36" i="1" s="1"/>
  <c r="D7" i="4"/>
  <c r="N37" i="1" s="1"/>
  <c r="D8" i="4"/>
  <c r="N38" i="1" s="1"/>
  <c r="D9" i="4"/>
  <c r="N39" i="1" s="1"/>
  <c r="D10" i="4"/>
  <c r="N40" i="1" s="1"/>
  <c r="D3" i="4"/>
  <c r="N33" i="1" s="1"/>
  <c r="C2" i="4"/>
  <c r="D31" i="1" s="1"/>
  <c r="I1" i="4"/>
  <c r="K2" i="4"/>
  <c r="AU1" i="4"/>
  <c r="AV2" i="4" s="1"/>
  <c r="N41" i="1"/>
  <c r="F34" i="1"/>
  <c r="F35" i="1"/>
  <c r="F36" i="1"/>
  <c r="F37" i="1"/>
  <c r="F38" i="1"/>
  <c r="F39" i="1"/>
  <c r="F40" i="1"/>
  <c r="F41" i="1"/>
  <c r="F33" i="1"/>
  <c r="E34" i="1"/>
  <c r="E35" i="1"/>
  <c r="E36" i="1"/>
  <c r="E37" i="1"/>
  <c r="E38" i="1"/>
  <c r="E39" i="1"/>
  <c r="E40" i="1"/>
  <c r="E41" i="1"/>
  <c r="E33" i="1"/>
  <c r="D34" i="1"/>
  <c r="D35" i="1"/>
  <c r="D36" i="1"/>
  <c r="D37" i="1"/>
  <c r="D38" i="1"/>
  <c r="D39" i="1"/>
  <c r="D40" i="1"/>
  <c r="D41" i="1"/>
  <c r="D33" i="1"/>
  <c r="A1" i="4"/>
  <c r="D26" i="1"/>
  <c r="E26" i="1"/>
  <c r="F26" i="1"/>
  <c r="N26" i="1"/>
  <c r="D27" i="1"/>
  <c r="E27" i="1"/>
  <c r="F27" i="1"/>
  <c r="N27" i="1"/>
  <c r="D28" i="1"/>
  <c r="E28" i="1"/>
  <c r="F28" i="1"/>
  <c r="N28" i="1"/>
  <c r="D29" i="1"/>
  <c r="E29" i="1"/>
  <c r="F29" i="1"/>
  <c r="N29" i="1"/>
  <c r="N25" i="1"/>
  <c r="F25" i="1"/>
  <c r="E25" i="1"/>
  <c r="V2" i="4"/>
  <c r="T1" i="4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C3" i="2"/>
  <c r="B3" i="2"/>
  <c r="BE1" i="4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AJ1" i="4"/>
  <c r="E23" i="1"/>
  <c r="D25" i="1"/>
  <c r="CY35" i="1"/>
  <c r="CT18" i="1"/>
  <c r="CH32" i="1"/>
  <c r="CL6" i="1"/>
  <c r="CT36" i="1"/>
  <c r="CT19" i="1"/>
  <c r="CT32" i="1"/>
  <c r="CH36" i="1"/>
  <c r="CL24" i="1"/>
  <c r="CD25" i="1"/>
  <c r="DC25" i="1"/>
  <c r="DC8" i="1"/>
  <c r="DC42" i="1" s="1"/>
  <c r="CL9" i="1"/>
  <c r="CL26" i="1"/>
  <c r="CL43" i="1"/>
  <c r="CD28" i="1"/>
  <c r="CD45" i="1"/>
  <c r="CL11" i="1"/>
  <c r="CL28" i="1"/>
  <c r="CL45" i="1"/>
  <c r="CU34" i="1"/>
  <c r="CY32" i="1"/>
  <c r="CP12" i="1"/>
  <c r="CL34" i="1"/>
  <c r="CL16" i="1"/>
  <c r="DC13" i="1"/>
  <c r="DC30" i="1"/>
  <c r="DC47" i="1"/>
  <c r="DG45" i="1"/>
  <c r="DG25" i="1"/>
  <c r="CP7" i="1"/>
  <c r="CY40" i="1"/>
  <c r="DG22" i="1"/>
  <c r="CW9" i="1"/>
  <c r="CP22" i="1"/>
  <c r="CP26" i="1"/>
  <c r="CP23" i="1"/>
  <c r="CY14" i="1"/>
  <c r="CY31" i="1"/>
  <c r="CY48" i="1"/>
  <c r="DC19" i="1"/>
  <c r="DC36" i="1"/>
  <c r="DC53" i="1"/>
  <c r="CD5" i="1"/>
  <c r="CP14" i="1"/>
  <c r="CP31" i="1"/>
  <c r="CP48" i="1"/>
  <c r="CL7" i="1"/>
  <c r="CL22" i="1"/>
  <c r="CL39" i="1"/>
  <c r="DG27" i="1"/>
  <c r="DC22" i="1"/>
  <c r="DC39" i="1"/>
  <c r="DG44" i="1"/>
  <c r="DC12" i="1"/>
  <c r="DC29" i="1"/>
  <c r="DC46" i="1"/>
  <c r="CP29" i="1"/>
  <c r="DC16" i="1"/>
  <c r="CH11" i="1"/>
  <c r="CH8" i="1"/>
  <c r="CP24" i="1"/>
  <c r="CP41" i="1"/>
  <c r="DG51" i="1"/>
  <c r="CL23" i="1"/>
  <c r="CL40" i="1"/>
  <c r="CY5" i="1"/>
  <c r="CY39" i="1"/>
  <c r="CL29" i="1"/>
  <c r="DG8" i="1"/>
  <c r="DG42" i="1"/>
  <c r="DG20" i="1"/>
  <c r="DG11" i="1"/>
  <c r="DC33" i="1"/>
  <c r="DC6" i="1"/>
  <c r="DC9" i="1"/>
  <c r="CH46" i="1"/>
  <c r="DC17" i="1"/>
  <c r="CU10" i="1"/>
  <c r="CU27" i="1"/>
  <c r="CU44" i="1"/>
  <c r="DG32" i="1"/>
  <c r="DC35" i="1"/>
  <c r="DC7" i="1"/>
  <c r="DC41" i="1" s="1"/>
  <c r="DC24" i="1"/>
  <c r="DC11" i="1"/>
  <c r="CY8" i="1"/>
  <c r="CR27" i="1"/>
  <c r="DI27" i="1"/>
  <c r="CH19" i="1"/>
  <c r="CY19" i="1"/>
  <c r="CK27" i="1"/>
  <c r="DB27" i="1"/>
  <c r="DG29" i="1"/>
  <c r="CV22" i="1"/>
  <c r="CH33" i="1"/>
  <c r="CU30" i="1"/>
  <c r="CU47" i="1" s="1"/>
  <c r="DC5" i="1"/>
  <c r="DC43" i="1"/>
  <c r="DG41" i="1"/>
  <c r="CY16" i="1"/>
  <c r="CY50" i="1"/>
  <c r="DG28" i="1"/>
  <c r="CY43" i="1"/>
  <c r="DC32" i="1"/>
  <c r="DC15" i="1"/>
  <c r="CX35" i="1"/>
  <c r="CG35" i="1"/>
  <c r="CX52" i="1"/>
  <c r="CX18" i="1"/>
  <c r="CG18" i="1"/>
  <c r="CG52" i="1"/>
  <c r="CO10" i="1"/>
  <c r="DG30" i="1"/>
  <c r="DG13" i="1"/>
  <c r="DG47" i="1"/>
  <c r="CP30" i="1"/>
  <c r="DB33" i="1"/>
  <c r="DB50" i="1"/>
  <c r="CK33" i="1"/>
  <c r="CK16" i="1"/>
  <c r="CK50" i="1"/>
  <c r="CK9" i="1"/>
  <c r="CK26" i="1"/>
  <c r="CK43" i="1"/>
  <c r="DB9" i="1"/>
  <c r="DF30" i="1"/>
  <c r="DC44" i="1"/>
  <c r="CL10" i="1"/>
  <c r="CL27" i="1"/>
  <c r="DC10" i="1"/>
  <c r="CC6" i="1"/>
  <c r="DG23" i="1"/>
  <c r="CP6" i="1"/>
  <c r="CP40" i="1"/>
  <c r="DG10" i="1"/>
  <c r="CP27" i="1"/>
  <c r="CX36" i="1"/>
  <c r="CX53" i="1" s="1"/>
  <c r="CX19" i="1"/>
  <c r="CG19" i="1"/>
  <c r="CG36" i="1"/>
  <c r="CQ6" i="1"/>
  <c r="CQ23" i="1"/>
  <c r="CQ40" i="1"/>
  <c r="DH6" i="1"/>
  <c r="CY36" i="1"/>
  <c r="CQ12" i="1"/>
  <c r="DH12" i="1"/>
  <c r="CG8" i="1"/>
  <c r="CG42" i="1"/>
  <c r="CG25" i="1"/>
  <c r="CX8" i="1"/>
  <c r="CX25" i="1"/>
  <c r="CX42" i="1"/>
  <c r="DG31" i="1"/>
  <c r="DB51" i="1"/>
  <c r="CK17" i="1"/>
  <c r="DB17" i="1"/>
  <c r="CK34" i="1"/>
  <c r="CT16" i="1"/>
  <c r="CT50" i="1"/>
  <c r="CT12" i="1"/>
  <c r="CT29" i="1"/>
  <c r="CT25" i="1"/>
  <c r="CT8" i="1"/>
  <c r="DF12" i="1"/>
  <c r="DF46" i="1" s="1"/>
  <c r="CH6" i="1"/>
  <c r="CH23" i="1"/>
  <c r="CH40" i="1"/>
  <c r="CX29" i="1"/>
  <c r="CG12" i="1"/>
  <c r="CX12" i="1"/>
  <c r="CX46" i="1"/>
  <c r="CG29" i="1"/>
  <c r="CG46" i="1"/>
  <c r="CL30" i="1"/>
  <c r="CL13" i="1"/>
  <c r="CG16" i="1"/>
  <c r="CG33" i="1"/>
  <c r="CG50" i="1"/>
  <c r="CX33" i="1"/>
  <c r="CX16" i="1"/>
  <c r="CX50" i="1"/>
  <c r="DC51" i="1"/>
  <c r="CL17" i="1"/>
  <c r="CL51" i="1"/>
  <c r="CG20" i="1"/>
  <c r="CG37" i="1"/>
  <c r="CG54" i="1"/>
  <c r="CX20" i="1"/>
  <c r="CX37" i="1"/>
  <c r="CX54" i="1"/>
  <c r="DF5" i="1"/>
  <c r="DF22" i="1"/>
  <c r="DF39" i="1"/>
  <c r="DF7" i="1"/>
  <c r="DF24" i="1"/>
  <c r="DF41" i="1"/>
  <c r="CK14" i="1"/>
  <c r="CK31" i="1"/>
  <c r="CK48" i="1"/>
  <c r="DB31" i="1"/>
  <c r="DG15" i="1"/>
  <c r="DG49" i="1"/>
  <c r="CP32" i="1"/>
  <c r="CP49" i="1"/>
  <c r="CK18" i="1"/>
  <c r="CK35" i="1"/>
  <c r="CK52" i="1"/>
  <c r="DG19" i="1"/>
  <c r="CR6" i="1"/>
  <c r="CC20" i="1"/>
  <c r="CC37" i="1"/>
  <c r="CT54" i="1"/>
  <c r="CG5" i="1"/>
  <c r="CG22" i="1"/>
  <c r="CG39" i="1"/>
  <c r="CX39" i="1"/>
  <c r="CT46" i="1"/>
  <c r="CO22" i="1"/>
  <c r="CO39" i="1"/>
  <c r="CT45" i="1"/>
  <c r="CC10" i="1"/>
  <c r="CC27" i="1"/>
  <c r="CC44" i="1"/>
  <c r="CT44" i="1"/>
  <c r="CC41" i="1"/>
  <c r="CT7" i="1"/>
  <c r="CT24" i="1"/>
  <c r="CT41" i="1"/>
  <c r="CF39" i="1"/>
  <c r="CW5" i="1"/>
  <c r="CW22" i="1"/>
  <c r="CW39" i="1"/>
  <c r="CC49" i="1"/>
  <c r="CT15" i="1"/>
  <c r="CT49" i="1"/>
  <c r="CN39" i="1"/>
  <c r="CC52" i="1"/>
  <c r="CT35" i="1"/>
  <c r="CT52" i="1"/>
  <c r="CQ39" i="1"/>
  <c r="DH5" i="1"/>
  <c r="DH22" i="1"/>
  <c r="DH39" i="1"/>
  <c r="CK39" i="1"/>
  <c r="DB5" i="1"/>
  <c r="DB22" i="1"/>
  <c r="DB39" i="1"/>
  <c r="CC51" i="1"/>
  <c r="DI5" i="1"/>
  <c r="DI22" i="1"/>
  <c r="DI39" i="1"/>
  <c r="CX5" i="1"/>
  <c r="CT28" i="1"/>
  <c r="CF5" i="1"/>
  <c r="CC32" i="1"/>
  <c r="CN5" i="1"/>
  <c r="CQ5" i="1"/>
  <c r="CK5" i="1"/>
  <c r="CC34" i="1"/>
  <c r="CR5" i="1"/>
  <c r="CX22" i="1"/>
  <c r="CT11" i="1"/>
  <c r="CT10" i="1"/>
  <c r="CC7" i="1"/>
  <c r="CF22" i="1"/>
  <c r="CC15" i="1"/>
  <c r="CC18" i="1"/>
  <c r="CQ22" i="1"/>
  <c r="CK22" i="1"/>
  <c r="CC17" i="1"/>
  <c r="CR22" i="1"/>
  <c r="CK10" i="1"/>
  <c r="CK44" i="1"/>
  <c r="DB10" i="1"/>
  <c r="DB44" i="1" s="1"/>
  <c r="CK25" i="1"/>
  <c r="CK8" i="1"/>
  <c r="DB25" i="1"/>
  <c r="DB42" i="1"/>
  <c r="CK42" i="1"/>
  <c r="DB8" i="1"/>
  <c r="CD34" i="1"/>
  <c r="CO32" i="1"/>
  <c r="DC28" i="1"/>
  <c r="DC45" i="1"/>
  <c r="DC26" i="1"/>
  <c r="CL41" i="1"/>
  <c r="CO19" i="1"/>
  <c r="CO53" i="1"/>
  <c r="CH34" i="1"/>
  <c r="CL33" i="1"/>
  <c r="CL50" i="1"/>
  <c r="CL32" i="1"/>
  <c r="CL15" i="1"/>
  <c r="CL49" i="1"/>
  <c r="CH26" i="1"/>
  <c r="CH43" i="1"/>
  <c r="CH24" i="1"/>
  <c r="CH28" i="1"/>
  <c r="CX14" i="1"/>
  <c r="CX31" i="1"/>
  <c r="CX48" i="1"/>
  <c r="CG31" i="1"/>
  <c r="CG14" i="1"/>
  <c r="CG48" i="1"/>
  <c r="DB12" i="1"/>
  <c r="DB46" i="1" s="1"/>
  <c r="DB29" i="1"/>
  <c r="CK29" i="1"/>
  <c r="CK12" i="1"/>
  <c r="DG34" i="1"/>
  <c r="CK20" i="1"/>
  <c r="CK54" i="1"/>
  <c r="DB20" i="1"/>
  <c r="DB54" i="1" s="1"/>
  <c r="CK37" i="1"/>
  <c r="DB37" i="1"/>
  <c r="DA19" i="1"/>
  <c r="DA36" i="1"/>
  <c r="DA53" i="1"/>
  <c r="CT13" i="1"/>
  <c r="CC30" i="1"/>
  <c r="CK28" i="1"/>
  <c r="DB11" i="1"/>
  <c r="DB45" i="1"/>
  <c r="CK11" i="1"/>
  <c r="CK45" i="1"/>
  <c r="DB28" i="1"/>
  <c r="DB7" i="1"/>
  <c r="CK7" i="1"/>
  <c r="CK41" i="1"/>
  <c r="CK24" i="1"/>
  <c r="DB24" i="1"/>
  <c r="DB41" i="1"/>
  <c r="CL42" i="1"/>
  <c r="CL25" i="1"/>
  <c r="CL8" i="1"/>
  <c r="DC23" i="1"/>
  <c r="DC40" i="1"/>
  <c r="CP8" i="1"/>
  <c r="CP42" i="1"/>
  <c r="CL46" i="1"/>
  <c r="CG32" i="1"/>
  <c r="CX15" i="1"/>
  <c r="CX49" i="1"/>
  <c r="CG15" i="1"/>
  <c r="CG49" i="1"/>
  <c r="CX32" i="1"/>
  <c r="CL20" i="1"/>
  <c r="CL54" i="1"/>
  <c r="CX23" i="1"/>
  <c r="CX6" i="1"/>
  <c r="CX40" i="1"/>
  <c r="CG6" i="1"/>
  <c r="CG23" i="1"/>
  <c r="CX10" i="1"/>
  <c r="CG27" i="1"/>
  <c r="CX27" i="1"/>
  <c r="CX44" i="1"/>
  <c r="CG44" i="1"/>
  <c r="CG10" i="1"/>
  <c r="CY30" i="1"/>
  <c r="CH13" i="1"/>
  <c r="CD14" i="1"/>
  <c r="DF20" i="1"/>
  <c r="DF54" i="1"/>
  <c r="CK6" i="1"/>
  <c r="CK23" i="1"/>
  <c r="DB6" i="1"/>
  <c r="DB23" i="1"/>
  <c r="DB40" i="1"/>
  <c r="CU5" i="1"/>
  <c r="CU39" i="1"/>
  <c r="DG5" i="1"/>
  <c r="DG39" i="1"/>
  <c r="CP5" i="1"/>
  <c r="CP39" i="1"/>
  <c r="DG24" i="1"/>
  <c r="DG7" i="1"/>
  <c r="DG9" i="1"/>
  <c r="DG43" i="1" s="1"/>
  <c r="DG26" i="1"/>
  <c r="CG30" i="1"/>
  <c r="CX13" i="1"/>
  <c r="CX47" i="1" s="1"/>
  <c r="CX30" i="1"/>
  <c r="CG13" i="1"/>
  <c r="CG17" i="1"/>
  <c r="CX17" i="1"/>
  <c r="CX34" i="1"/>
  <c r="CX51" i="1" s="1"/>
  <c r="CG34" i="1"/>
  <c r="CL18" i="1"/>
  <c r="DC52" i="1"/>
  <c r="CX24" i="1"/>
  <c r="CG7" i="1"/>
  <c r="CG41" i="1"/>
  <c r="CG24" i="1"/>
  <c r="CX7" i="1"/>
  <c r="CX41" i="1"/>
  <c r="CX28" i="1"/>
  <c r="CG11" i="1"/>
  <c r="CG28" i="1"/>
  <c r="CG45" i="1"/>
  <c r="CX45" i="1"/>
  <c r="CX11" i="1"/>
  <c r="DG12" i="1"/>
  <c r="CP46" i="1"/>
  <c r="CK15" i="1"/>
  <c r="CK32" i="1"/>
  <c r="CK49" i="1"/>
  <c r="DB32" i="1"/>
  <c r="DB15" i="1"/>
  <c r="DB49" i="1"/>
  <c r="DG33" i="1"/>
  <c r="DG50" i="1"/>
  <c r="DB53" i="1"/>
  <c r="DB36" i="1"/>
  <c r="DB19" i="1"/>
  <c r="CK19" i="1"/>
  <c r="CK36" i="1"/>
  <c r="CK53" i="1"/>
  <c r="CP20" i="1"/>
  <c r="CF28" i="1"/>
  <c r="CW24" i="1"/>
  <c r="CC9" i="1"/>
  <c r="CC26" i="1"/>
  <c r="CC43" i="1"/>
  <c r="CT43" i="1"/>
  <c r="CT9" i="1"/>
  <c r="CU33" i="1"/>
  <c r="CU50" i="1"/>
  <c r="CU8" i="1"/>
  <c r="CU42" i="1"/>
  <c r="CO35" i="1"/>
  <c r="DC27" i="1"/>
  <c r="DG17" i="1"/>
  <c r="DC50" i="1"/>
  <c r="CD7" i="1"/>
  <c r="CH22" i="1"/>
  <c r="DG14" i="1"/>
  <c r="DG48" i="1"/>
  <c r="CP10" i="1"/>
  <c r="CY24" i="1"/>
  <c r="DC49" i="1"/>
  <c r="CL12" i="1"/>
  <c r="CH30" i="1"/>
  <c r="CG51" i="1"/>
  <c r="CP47" i="1"/>
  <c r="CW32" i="1"/>
  <c r="CW15" i="1"/>
  <c r="CW49" i="1"/>
  <c r="CF31" i="1"/>
  <c r="CW48" i="1"/>
  <c r="CF14" i="1"/>
  <c r="DI13" i="1"/>
  <c r="DI47" i="1"/>
  <c r="CR13" i="1"/>
  <c r="CR30" i="1"/>
  <c r="CR47" i="1"/>
  <c r="CJ13" i="1"/>
  <c r="CJ30" i="1"/>
  <c r="CJ47" i="1"/>
  <c r="DA13" i="1"/>
  <c r="DA30" i="1"/>
  <c r="DA47" i="1"/>
  <c r="CF30" i="1"/>
  <c r="CW13" i="1"/>
  <c r="CW30" i="1"/>
  <c r="CW47" i="1"/>
  <c r="DE12" i="1"/>
  <c r="DE29" i="1"/>
  <c r="DE46" i="1"/>
  <c r="CF7" i="1"/>
  <c r="CF24" i="1"/>
  <c r="CF41" i="1"/>
  <c r="DI23" i="1"/>
  <c r="CR40" i="1"/>
  <c r="CN6" i="1"/>
  <c r="CN23" i="1"/>
  <c r="CF6" i="1"/>
  <c r="CW6" i="1"/>
  <c r="CW23" i="1"/>
  <c r="DA22" i="1"/>
  <c r="CJ22" i="1"/>
  <c r="CN20" i="1"/>
  <c r="CN37" i="1"/>
  <c r="CN54" i="1"/>
  <c r="DE20" i="1"/>
  <c r="DE54" i="1" s="1"/>
  <c r="CJ20" i="1"/>
  <c r="DA54" i="1"/>
  <c r="CF37" i="1"/>
  <c r="CW54" i="1"/>
  <c r="CR36" i="1"/>
  <c r="DI19" i="1"/>
  <c r="DI36" i="1"/>
  <c r="DI53" i="1"/>
  <c r="CR19" i="1"/>
  <c r="CN53" i="1"/>
  <c r="DE19" i="1"/>
  <c r="DE53" i="1" s="1"/>
  <c r="CR34" i="1"/>
  <c r="DI17" i="1"/>
  <c r="DI51" i="1"/>
  <c r="CF17" i="1"/>
  <c r="CW17" i="1"/>
  <c r="CR16" i="1"/>
  <c r="CR33" i="1"/>
  <c r="CR50" i="1"/>
  <c r="DI16" i="1"/>
  <c r="CF29" i="1"/>
  <c r="CW29" i="1"/>
  <c r="CR11" i="1"/>
  <c r="CR45" i="1"/>
  <c r="DI11" i="1"/>
  <c r="CR10" i="1"/>
  <c r="CR44" i="1"/>
  <c r="DI10" i="1"/>
  <c r="CN10" i="1"/>
  <c r="CN44" i="1"/>
  <c r="DE27" i="1"/>
  <c r="CF44" i="1"/>
  <c r="CW27" i="1"/>
  <c r="CJ43" i="1"/>
  <c r="CJ9" i="1"/>
  <c r="DI8" i="1"/>
  <c r="DI25" i="1"/>
  <c r="DI42" i="1"/>
  <c r="CR8" i="1"/>
  <c r="CN49" i="1"/>
  <c r="CW52" i="1"/>
  <c r="DI7" i="1"/>
  <c r="CR35" i="1"/>
  <c r="DE13" i="1"/>
  <c r="CR9" i="1"/>
  <c r="DE23" i="1"/>
  <c r="CW41" i="1"/>
  <c r="DI26" i="1"/>
  <c r="CR28" i="1"/>
  <c r="CF32" i="1"/>
  <c r="CW31" i="1"/>
  <c r="DI18" i="1"/>
  <c r="DI35" i="1"/>
  <c r="DI52" i="1"/>
  <c r="CD17" i="1"/>
  <c r="CD51" i="1"/>
  <c r="DF35" i="1"/>
  <c r="DF52" i="1"/>
  <c r="CD12" i="1"/>
  <c r="CD29" i="1"/>
  <c r="CD46" i="1"/>
  <c r="CO37" i="1"/>
  <c r="CU31" i="1"/>
  <c r="DF33" i="1"/>
  <c r="DF16" i="1"/>
  <c r="DF50" i="1"/>
  <c r="CU49" i="1"/>
  <c r="CO25" i="1"/>
  <c r="DF32" i="1"/>
  <c r="CO9" i="1"/>
  <c r="CO43" i="1"/>
  <c r="CO30" i="1"/>
  <c r="DA20" i="1"/>
  <c r="CJ15" i="1"/>
  <c r="CJ32" i="1"/>
  <c r="CJ49" i="1"/>
  <c r="CD11" i="1"/>
  <c r="DH23" i="1"/>
  <c r="CD13" i="1"/>
  <c r="CD47" i="1"/>
  <c r="CU13" i="1"/>
  <c r="DF18" i="1"/>
  <c r="CD42" i="1"/>
  <c r="DF48" i="1"/>
  <c r="CO14" i="1"/>
  <c r="CO48" i="1"/>
  <c r="CD22" i="1"/>
  <c r="CD39" i="1"/>
  <c r="CO20" i="1"/>
  <c r="CO54" i="1"/>
  <c r="CU14" i="1"/>
  <c r="CO16" i="1"/>
  <c r="CO50" i="1"/>
  <c r="CY13" i="1"/>
  <c r="CY47" i="1"/>
  <c r="DE6" i="1"/>
  <c r="DE40" i="1"/>
  <c r="DE36" i="1"/>
  <c r="CD15" i="1"/>
  <c r="CC13" i="1"/>
  <c r="CC47" i="1"/>
  <c r="CT47" i="1"/>
  <c r="CJ26" i="1"/>
  <c r="DA34" i="1"/>
  <c r="CO8" i="1"/>
  <c r="CU9" i="1"/>
  <c r="CU43" i="1"/>
  <c r="CY26" i="1"/>
  <c r="CO15" i="1"/>
  <c r="CT37" i="1"/>
  <c r="DF9" i="1"/>
  <c r="DF43" i="1"/>
  <c r="CT42" i="1"/>
  <c r="DE9" i="1"/>
  <c r="CN17" i="1"/>
  <c r="CT23" i="1"/>
  <c r="CO47" i="1"/>
  <c r="DA40" i="1"/>
  <c r="DA48" i="1"/>
  <c r="CO27" i="1"/>
  <c r="CH12" i="1"/>
  <c r="CD10" i="1"/>
  <c r="CH16" i="1"/>
  <c r="CH50" i="1"/>
  <c r="CY6" i="1"/>
  <c r="CH29" i="1"/>
  <c r="CD37" i="1"/>
  <c r="CU32" i="1"/>
  <c r="CU25" i="1"/>
  <c r="CD16" i="1"/>
  <c r="CY7" i="1"/>
  <c r="CY41" i="1" s="1"/>
  <c r="CN29" i="1"/>
  <c r="CY29" i="1"/>
  <c r="CJ17" i="1"/>
  <c r="DA9" i="1"/>
  <c r="DA26" i="1"/>
  <c r="DA43" i="1"/>
  <c r="DB14" i="1"/>
  <c r="DB48" i="1"/>
  <c r="CP9" i="1"/>
  <c r="CP43" i="1"/>
  <c r="DB26" i="1"/>
  <c r="DB43" i="1"/>
  <c r="DG6" i="1"/>
  <c r="DG40" i="1"/>
  <c r="CU19" i="1"/>
  <c r="CU53" i="1"/>
  <c r="CD19" i="1"/>
  <c r="CD53" i="1"/>
  <c r="DA8" i="1"/>
  <c r="CJ8" i="1"/>
  <c r="CO24" i="1"/>
  <c r="DF6" i="1"/>
  <c r="DF23" i="1"/>
  <c r="DF14" i="1"/>
  <c r="CD50" i="1"/>
  <c r="CU11" i="1"/>
  <c r="CU45" i="1" s="1"/>
  <c r="CD36" i="1"/>
  <c r="DF29" i="1"/>
  <c r="CO13" i="1"/>
  <c r="CJ25" i="1"/>
  <c r="DF10" i="1"/>
  <c r="CD41" i="1"/>
  <c r="CD44" i="1"/>
  <c r="CC19" i="1"/>
  <c r="CC53" i="1"/>
  <c r="CT53" i="1"/>
  <c r="CC33" i="1"/>
  <c r="CC16" i="1"/>
  <c r="CY15" i="1"/>
  <c r="CH15" i="1"/>
  <c r="CH49" i="1"/>
  <c r="CH14" i="1"/>
  <c r="CC31" i="1"/>
  <c r="CN11" i="1"/>
  <c r="DE11" i="1"/>
  <c r="DE45" i="1"/>
  <c r="CY9" i="1"/>
  <c r="CY25" i="1"/>
  <c r="CY42" i="1"/>
  <c r="DE51" i="1"/>
  <c r="CU7" i="1"/>
  <c r="CU24" i="1"/>
  <c r="CU41" i="1"/>
  <c r="CH5" i="1"/>
  <c r="CH39" i="1"/>
  <c r="CJ34" i="1"/>
  <c r="CJ51" i="1"/>
  <c r="CD32" i="1"/>
  <c r="DF31" i="1"/>
  <c r="CD33" i="1"/>
  <c r="DF37" i="1"/>
  <c r="CU48" i="1"/>
  <c r="CH47" i="1"/>
  <c r="CN40" i="1"/>
  <c r="CN19" i="1"/>
  <c r="DF25" i="1"/>
  <c r="CU26" i="1"/>
  <c r="CJ14" i="1"/>
  <c r="CY17" i="1"/>
  <c r="CO36" i="1"/>
  <c r="DF15" i="1"/>
  <c r="DF26" i="1"/>
  <c r="CO12" i="1"/>
  <c r="CO46" i="1"/>
  <c r="CC8" i="1"/>
  <c r="CC50" i="1"/>
  <c r="DE26" i="1"/>
  <c r="DE15" i="1"/>
  <c r="DE49" i="1" s="1"/>
  <c r="CT6" i="1"/>
  <c r="CT40" i="1" s="1"/>
  <c r="DF47" i="1"/>
  <c r="DF44" i="1"/>
  <c r="DF40" i="1"/>
  <c r="CY46" i="1"/>
  <c r="CY49" i="1"/>
  <c r="CH25" i="1"/>
  <c r="CC14" i="1"/>
  <c r="CQ37" i="1"/>
  <c r="CV20" i="1"/>
  <c r="CZ53" i="1"/>
  <c r="CV19" i="1"/>
  <c r="CV36" i="1"/>
  <c r="CV53" i="1"/>
  <c r="CM35" i="1"/>
  <c r="CI35" i="1"/>
  <c r="CV35" i="1"/>
  <c r="CQ17" i="1"/>
  <c r="CQ34" i="1"/>
  <c r="CQ51" i="1"/>
  <c r="CI17" i="1"/>
  <c r="CE17" i="1"/>
  <c r="CE34" i="1"/>
  <c r="CE51" i="1"/>
  <c r="CQ16" i="1"/>
  <c r="CQ33" i="1"/>
  <c r="CQ50" i="1"/>
  <c r="DD50" i="1"/>
  <c r="CV32" i="1"/>
  <c r="DH13" i="1"/>
  <c r="DH30" i="1"/>
  <c r="DH47" i="1"/>
  <c r="DD30" i="1"/>
  <c r="CZ30" i="1"/>
  <c r="DH28" i="1"/>
  <c r="CM11" i="1"/>
  <c r="CE11" i="1"/>
  <c r="CI10" i="1"/>
  <c r="CE10" i="1"/>
  <c r="CE27" i="1"/>
  <c r="DH9" i="1"/>
  <c r="DH43" i="1"/>
  <c r="CZ26" i="1"/>
  <c r="CE9" i="1"/>
  <c r="CE26" i="1"/>
  <c r="CE43" i="1"/>
  <c r="CM25" i="1"/>
  <c r="CI8" i="1"/>
  <c r="CI42" i="1"/>
  <c r="CE8" i="1"/>
  <c r="DD28" i="1"/>
  <c r="DD11" i="1"/>
  <c r="CM28" i="1"/>
  <c r="CM45" i="1"/>
  <c r="CM37" i="1"/>
  <c r="CM20" i="1"/>
  <c r="CM54" i="1"/>
  <c r="CZ19" i="1"/>
  <c r="CZ36" i="1"/>
  <c r="CM18" i="1"/>
  <c r="CM52" i="1"/>
  <c r="DD18" i="1"/>
  <c r="CE35" i="1"/>
  <c r="CM51" i="1"/>
  <c r="DD17" i="1"/>
  <c r="DD34" i="1"/>
  <c r="DD51" i="1"/>
  <c r="DH50" i="1"/>
  <c r="DH33" i="1"/>
  <c r="DH14" i="1"/>
  <c r="CQ14" i="1"/>
  <c r="CI14" i="1"/>
  <c r="CZ14" i="1"/>
  <c r="CQ13" i="1"/>
  <c r="CZ54" i="1"/>
  <c r="DH20" i="1"/>
  <c r="DH37" i="1"/>
  <c r="DH54" i="1"/>
  <c r="DD35" i="1"/>
  <c r="CQ15" i="1"/>
  <c r="DD20" i="1"/>
  <c r="CI48" i="1"/>
  <c r="CM19" i="1"/>
  <c r="CM36" i="1"/>
  <c r="CM53" i="1"/>
  <c r="CR53" i="1"/>
  <c r="CJ19" i="1"/>
  <c r="CJ53" i="1"/>
  <c r="CW19" i="1"/>
  <c r="CW53" i="1" s="1"/>
  <c r="CF19" i="1"/>
  <c r="CN18" i="1"/>
  <c r="CN35" i="1"/>
  <c r="CN52" i="1"/>
  <c r="DE35" i="1"/>
  <c r="DA18" i="1"/>
  <c r="DA35" i="1"/>
  <c r="CW35" i="1"/>
  <c r="CW18" i="1"/>
  <c r="DE34" i="1"/>
  <c r="CN34" i="1"/>
  <c r="CN51" i="1"/>
  <c r="CF34" i="1"/>
  <c r="CW34" i="1"/>
  <c r="CW51" i="1"/>
  <c r="CJ33" i="1"/>
  <c r="DA33" i="1"/>
  <c r="CJ16" i="1"/>
  <c r="CJ50" i="1"/>
  <c r="CW33" i="1"/>
  <c r="CW16" i="1"/>
  <c r="CR15" i="1"/>
  <c r="CR49" i="1"/>
  <c r="CR32" i="1"/>
  <c r="DA32" i="1"/>
  <c r="CR14" i="1"/>
  <c r="DI48" i="1"/>
  <c r="DE14" i="1"/>
  <c r="DE31" i="1"/>
  <c r="DE48" i="1"/>
  <c r="CJ31" i="1"/>
  <c r="DA14" i="1"/>
  <c r="CN30" i="1"/>
  <c r="DE30" i="1"/>
  <c r="CR12" i="1"/>
  <c r="DI29" i="1"/>
  <c r="CN12" i="1"/>
  <c r="CN46" i="1"/>
  <c r="CW12" i="1"/>
  <c r="CW46" i="1"/>
  <c r="CJ11" i="1"/>
  <c r="CJ45" i="1"/>
  <c r="DA11" i="1"/>
  <c r="CW11" i="1"/>
  <c r="CW45" i="1" s="1"/>
  <c r="CW28" i="1"/>
  <c r="CJ27" i="1"/>
  <c r="DA44" i="1"/>
  <c r="CW10" i="1"/>
  <c r="CW44" i="1"/>
  <c r="CF9" i="1"/>
  <c r="CF26" i="1"/>
  <c r="CF43" i="1"/>
  <c r="CW26" i="1"/>
  <c r="CR25" i="1"/>
  <c r="CN8" i="1"/>
  <c r="DI24" i="1"/>
  <c r="CJ7" i="1"/>
  <c r="CJ24" i="1"/>
  <c r="CJ41" i="1"/>
  <c r="CJ5" i="1"/>
  <c r="CJ39" i="1"/>
  <c r="DA39" i="1"/>
  <c r="DH52" i="1"/>
  <c r="CI18" i="1"/>
  <c r="DH17" i="1"/>
  <c r="CZ17" i="1"/>
  <c r="CZ34" i="1"/>
  <c r="CZ51" i="1"/>
  <c r="CV17" i="1"/>
  <c r="CV34" i="1"/>
  <c r="CV51" i="1"/>
  <c r="DD16" i="1"/>
  <c r="DD33" i="1"/>
  <c r="CM33" i="1"/>
  <c r="CM16" i="1"/>
  <c r="CM50" i="1"/>
  <c r="DD13" i="1"/>
  <c r="CM13" i="1"/>
  <c r="CM30" i="1"/>
  <c r="CM47" i="1"/>
  <c r="CI13" i="1"/>
  <c r="CZ13" i="1"/>
  <c r="CZ47" i="1"/>
  <c r="CQ29" i="1"/>
  <c r="DH29" i="1"/>
  <c r="CM12" i="1"/>
  <c r="DD29" i="1"/>
  <c r="CE29" i="1"/>
  <c r="CQ28" i="1"/>
  <c r="DH11" i="1"/>
  <c r="DH45" i="1" s="1"/>
  <c r="CQ11" i="1"/>
  <c r="DH10" i="1"/>
  <c r="DH44" i="1" s="1"/>
  <c r="CQ27" i="1"/>
  <c r="DH27" i="1"/>
  <c r="DD10" i="1"/>
  <c r="DD44" i="1"/>
  <c r="CM10" i="1"/>
  <c r="CZ10" i="1"/>
  <c r="CV10" i="1"/>
  <c r="CQ26" i="1"/>
  <c r="CQ9" i="1"/>
  <c r="DD9" i="1"/>
  <c r="CI9" i="1"/>
  <c r="CV9" i="1"/>
  <c r="CV26" i="1"/>
  <c r="CV43" i="1"/>
  <c r="CM8" i="1"/>
  <c r="CM42" i="1"/>
  <c r="DD8" i="1"/>
  <c r="DD42" i="1" s="1"/>
  <c r="CZ8" i="1"/>
  <c r="CI25" i="1"/>
  <c r="DH7" i="1"/>
  <c r="DH24" i="1"/>
  <c r="DH41" i="1"/>
  <c r="DD22" i="1"/>
  <c r="DD39" i="1"/>
  <c r="CF47" i="1"/>
  <c r="CM27" i="1"/>
  <c r="CM44" i="1"/>
  <c r="DA15" i="1"/>
  <c r="DA49" i="1"/>
  <c r="DH34" i="1"/>
  <c r="CZ23" i="1"/>
  <c r="CI6" i="1"/>
  <c r="CW40" i="1"/>
  <c r="CW7" i="1"/>
  <c r="CF10" i="1"/>
  <c r="CF12" i="1"/>
  <c r="CF13" i="1"/>
  <c r="CF15" i="1"/>
  <c r="CF49" i="1"/>
  <c r="CW36" i="1"/>
  <c r="CF20" i="1"/>
  <c r="CF54" i="1"/>
  <c r="DE8" i="1"/>
  <c r="DE25" i="1"/>
  <c r="DE42" i="1"/>
  <c r="CN27" i="1"/>
  <c r="DD24" i="1"/>
  <c r="DD26" i="1"/>
  <c r="DA41" i="1"/>
  <c r="CJ28" i="1"/>
  <c r="DD25" i="1"/>
  <c r="DE43" i="1"/>
  <c r="CZ44" i="1"/>
  <c r="DA28" i="1"/>
  <c r="DA45" i="1"/>
  <c r="CR23" i="1"/>
  <c r="CR42" i="1"/>
  <c r="DI28" i="1"/>
  <c r="DI12" i="1"/>
  <c r="DI46" i="1"/>
  <c r="DI33" i="1"/>
  <c r="CR17" i="1"/>
  <c r="CR51" i="1"/>
  <c r="CN9" i="1"/>
  <c r="CN13" i="1"/>
  <c r="CN32" i="1"/>
  <c r="CM23" i="1"/>
  <c r="CE54" i="1"/>
  <c r="CJ23" i="1"/>
  <c r="CJ40" i="1"/>
  <c r="DA25" i="1"/>
  <c r="DA42" i="1"/>
  <c r="CJ10" i="1"/>
  <c r="CJ18" i="1"/>
  <c r="CJ52" i="1"/>
  <c r="DA37" i="1"/>
  <c r="DH46" i="1"/>
  <c r="CV5" i="1"/>
  <c r="CV39" i="1"/>
  <c r="CI31" i="1"/>
  <c r="CE31" i="1"/>
  <c r="CE14" i="1"/>
  <c r="CE48" i="1"/>
  <c r="CQ43" i="1"/>
  <c r="DH26" i="1"/>
  <c r="CM34" i="1"/>
  <c r="DD37" i="1"/>
  <c r="DD54" i="1"/>
  <c r="CR31" i="1"/>
  <c r="CE25" i="1"/>
  <c r="CE42" i="1"/>
  <c r="CE33" i="1"/>
  <c r="DD47" i="1"/>
  <c r="CQ47" i="1"/>
  <c r="DD45" i="1"/>
  <c r="CI7" i="1"/>
  <c r="CI24" i="1"/>
  <c r="CI41" i="1"/>
  <c r="CI23" i="1"/>
  <c r="CI40" i="1"/>
  <c r="CN25" i="1"/>
  <c r="CZ24" i="1"/>
  <c r="CZ7" i="1"/>
  <c r="CZ41" i="1"/>
  <c r="DE17" i="1"/>
  <c r="DI9" i="1"/>
  <c r="DI43" i="1" s="1"/>
  <c r="DE37" i="1"/>
  <c r="CM14" i="1"/>
  <c r="CZ15" i="1"/>
  <c r="CZ32" i="1"/>
  <c r="CZ49" i="1"/>
  <c r="DH35" i="1"/>
  <c r="DD5" i="1"/>
  <c r="DI50" i="1"/>
  <c r="DI41" i="1"/>
  <c r="DG37" i="1"/>
  <c r="CP37" i="1"/>
  <c r="CL37" i="1"/>
  <c r="DC37" i="1"/>
  <c r="CH20" i="1"/>
  <c r="CH37" i="1"/>
  <c r="CU37" i="1"/>
  <c r="CU54" i="1"/>
  <c r="DG53" i="1"/>
  <c r="CP36" i="1"/>
  <c r="CP19" i="1"/>
  <c r="CP53" i="1"/>
  <c r="CL36" i="1"/>
  <c r="CL19" i="1"/>
  <c r="CL53" i="1"/>
  <c r="CL35" i="1"/>
  <c r="DC18" i="1"/>
  <c r="CH35" i="1"/>
  <c r="CH52" i="1"/>
  <c r="CD35" i="1"/>
  <c r="CD18" i="1"/>
  <c r="CD52" i="1"/>
  <c r="CY34" i="1"/>
  <c r="CH51" i="1"/>
  <c r="CM40" i="1"/>
  <c r="DH16" i="1"/>
  <c r="CN28" i="1"/>
  <c r="CN45" i="1"/>
  <c r="DA10" i="1"/>
  <c r="CU35" i="1"/>
  <c r="CM7" i="1"/>
  <c r="DD43" i="1"/>
  <c r="CD20" i="1"/>
  <c r="CD54" i="1"/>
  <c r="CF23" i="1"/>
  <c r="CF27" i="1"/>
  <c r="CF11" i="1"/>
  <c r="CF46" i="1"/>
  <c r="CF48" i="1"/>
  <c r="CW50" i="1"/>
  <c r="CW37" i="1"/>
  <c r="CV28" i="1"/>
  <c r="DE10" i="1"/>
  <c r="DE44" i="1"/>
  <c r="CN36" i="1"/>
  <c r="DC20" i="1"/>
  <c r="DC54" i="1"/>
  <c r="DA5" i="1"/>
  <c r="DA7" i="1"/>
  <c r="DA51" i="1"/>
  <c r="DE7" i="1"/>
  <c r="DI6" i="1"/>
  <c r="DI40" i="1"/>
  <c r="DI44" i="1"/>
  <c r="DI45" i="1"/>
  <c r="CR46" i="1"/>
  <c r="DI31" i="1"/>
  <c r="DI34" i="1"/>
  <c r="CQ8" i="1"/>
  <c r="DE24" i="1"/>
  <c r="CN47" i="1"/>
  <c r="CN15" i="1"/>
  <c r="DE18" i="1"/>
  <c r="DD6" i="1"/>
  <c r="DD23" i="1"/>
  <c r="DD40" i="1"/>
  <c r="CY51" i="1"/>
  <c r="CJ6" i="1"/>
  <c r="DA52" i="1"/>
  <c r="CJ37" i="1"/>
  <c r="CV13" i="1"/>
  <c r="CV47" i="1"/>
  <c r="DD36" i="1"/>
  <c r="CH18" i="1"/>
  <c r="CQ10" i="1"/>
  <c r="CM31" i="1"/>
  <c r="CM48" i="1"/>
  <c r="CQ35" i="1"/>
  <c r="CY18" i="1"/>
  <c r="CY52" i="1"/>
  <c r="DI30" i="1"/>
  <c r="DD31" i="1"/>
  <c r="DD7" i="1"/>
  <c r="DD41" i="1"/>
  <c r="CQ7" i="1"/>
  <c r="CM17" i="1"/>
  <c r="CQ30" i="1"/>
  <c r="CZ31" i="1"/>
  <c r="CZ48" i="1"/>
  <c r="CU17" i="1"/>
  <c r="CU51" i="1"/>
  <c r="CQ49" i="1"/>
  <c r="DE41" i="1"/>
  <c r="CW20" i="1"/>
  <c r="CV11" i="1"/>
  <c r="CQ32" i="1"/>
  <c r="CQ20" i="1"/>
  <c r="CQ54" i="1"/>
  <c r="CP16" i="1"/>
  <c r="CI22" i="1"/>
  <c r="DA16" i="1"/>
  <c r="DA50" i="1"/>
  <c r="CM29" i="1"/>
  <c r="CU52" i="1"/>
  <c r="CH54" i="1"/>
  <c r="CN43" i="1"/>
  <c r="DH31" i="1"/>
  <c r="DH48" i="1"/>
  <c r="DD52" i="1"/>
  <c r="DH40" i="1"/>
  <c r="CW43" i="1"/>
  <c r="CF53" i="1"/>
  <c r="CR43" i="1"/>
  <c r="CQ44" i="1"/>
  <c r="DG54" i="1"/>
  <c r="CQ45" i="1"/>
  <c r="CC48" i="1"/>
  <c r="CK40" i="1"/>
  <c r="CO42" i="1"/>
  <c r="CJ44" i="1"/>
  <c r="CN42" i="1"/>
  <c r="CC42" i="1"/>
  <c r="CD49" i="1"/>
  <c r="CE19" i="1"/>
  <c r="CE52" i="1"/>
  <c r="CV25" i="1"/>
  <c r="CE28" i="1"/>
  <c r="CV18" i="1"/>
  <c r="CV52" i="1"/>
  <c r="CI15" i="1"/>
  <c r="CI49" i="1"/>
  <c r="CI20" i="1"/>
  <c r="CZ20" i="1"/>
  <c r="CZ37" i="1"/>
  <c r="CI36" i="1"/>
  <c r="CI32" i="1"/>
  <c r="CI26" i="1"/>
  <c r="CV37" i="1"/>
  <c r="CV54" i="1"/>
  <c r="CZ27" i="1"/>
  <c r="CV8" i="1"/>
  <c r="CV42" i="1" s="1"/>
  <c r="CZ9" i="1"/>
  <c r="CI27" i="1"/>
  <c r="CI44" i="1"/>
  <c r="CV45" i="1"/>
  <c r="CI30" i="1"/>
  <c r="CI52" i="1"/>
  <c r="CE36" i="1"/>
  <c r="CI19" i="1"/>
  <c r="CQ24" i="1"/>
  <c r="CQ41" i="1"/>
  <c r="CQ25" i="1"/>
  <c r="DH42" i="1"/>
  <c r="DH25" i="1"/>
  <c r="DH8" i="1"/>
  <c r="CQ31" i="1"/>
  <c r="DH15" i="1"/>
  <c r="DH49" i="1" s="1"/>
  <c r="DH32" i="1"/>
  <c r="DH18" i="1"/>
  <c r="CQ18" i="1"/>
  <c r="CQ52" i="1"/>
  <c r="CE6" i="1"/>
  <c r="CE23" i="1"/>
  <c r="CV6" i="1"/>
  <c r="CV40" i="1"/>
  <c r="CV23" i="1"/>
  <c r="CV12" i="1"/>
  <c r="CV46" i="1" s="1"/>
  <c r="CV29" i="1"/>
  <c r="CE13" i="1"/>
  <c r="CV31" i="1"/>
  <c r="CE15" i="1"/>
  <c r="CE32" i="1"/>
  <c r="CE49" i="1"/>
  <c r="CV15" i="1"/>
  <c r="CV33" i="1"/>
  <c r="CE16" i="1"/>
  <c r="CE20" i="1"/>
  <c r="CE37" i="1"/>
  <c r="CV30" i="1"/>
  <c r="CE12" i="1"/>
  <c r="CV14" i="1"/>
  <c r="CE53" i="1"/>
  <c r="CZ5" i="1"/>
  <c r="CZ39" i="1" s="1"/>
  <c r="CZ22" i="1"/>
  <c r="CI5" i="1"/>
  <c r="CI39" i="1"/>
  <c r="CZ40" i="1"/>
  <c r="CZ6" i="1"/>
  <c r="CZ25" i="1"/>
  <c r="CZ42" i="1"/>
  <c r="CI34" i="1"/>
  <c r="CI51" i="1"/>
  <c r="CI47" i="1"/>
  <c r="CV27" i="1"/>
  <c r="CE30" i="1"/>
  <c r="CZ18" i="1"/>
  <c r="CV49" i="1"/>
  <c r="CE50" i="1"/>
  <c r="CI37" i="1"/>
  <c r="CI54" i="1"/>
  <c r="CE46" i="1"/>
  <c r="CZ35" i="1"/>
  <c r="CZ52" i="1" s="1"/>
  <c r="CE45" i="1"/>
  <c r="CZ43" i="1"/>
  <c r="CV16" i="1"/>
  <c r="CV50" i="1"/>
  <c r="CV44" i="1"/>
  <c r="CV48" i="1"/>
  <c r="CE18" i="1"/>
  <c r="CM5" i="1"/>
  <c r="CM22" i="1"/>
  <c r="CM6" i="1"/>
  <c r="CM24" i="1"/>
  <c r="CM41" i="1"/>
  <c r="CM9" i="1"/>
  <c r="CM43" i="1"/>
  <c r="CM26" i="1"/>
  <c r="DD27" i="1"/>
  <c r="DD12" i="1"/>
  <c r="DD46" i="1"/>
  <c r="DD14" i="1"/>
  <c r="DD48" i="1" s="1"/>
  <c r="DD19" i="1"/>
  <c r="DD53" i="1"/>
  <c r="DH51" i="1"/>
  <c r="CJ54" i="1"/>
  <c r="CG40" i="1"/>
  <c r="CD48" i="1"/>
  <c r="CH42" i="1"/>
  <c r="CC54" i="1"/>
  <c r="CR48" i="1"/>
  <c r="CP54" i="1"/>
  <c r="CP51" i="1"/>
  <c r="CQ46" i="1"/>
  <c r="CH53" i="1"/>
  <c r="CH45" i="1"/>
  <c r="CO44" i="1"/>
  <c r="CG47" i="1"/>
  <c r="CI43" i="1"/>
  <c r="CG53" i="1"/>
  <c r="CF51" i="1"/>
  <c r="CK51" i="1"/>
  <c r="CO41" i="1"/>
  <c r="CO49" i="1"/>
  <c r="CP44" i="1"/>
  <c r="CE44" i="1"/>
  <c r="CJ42" i="1"/>
  <c r="AR4" i="4"/>
  <c r="AR5" i="4"/>
  <c r="CQ48" i="1"/>
  <c r="CI53" i="1"/>
  <c r="CQ42" i="1"/>
  <c r="CJ48" i="1"/>
  <c r="CL52" i="1"/>
  <c r="CI50" i="1"/>
  <c r="CK46" i="1"/>
  <c r="CL44" i="1"/>
  <c r="CM39" i="1"/>
  <c r="CM46" i="1"/>
  <c r="CE47" i="1"/>
  <c r="CL47" i="1"/>
  <c r="CE40" i="1"/>
  <c r="CF40" i="1"/>
  <c r="CO52" i="1"/>
  <c r="BV10" i="1" l="1"/>
  <c r="BV8" i="1"/>
  <c r="BX5" i="1"/>
  <c r="BU5" i="1" s="1"/>
  <c r="BV16" i="1"/>
  <c r="BX17" i="1"/>
  <c r="BU17" i="1" s="1"/>
  <c r="BV9" i="1"/>
  <c r="BV15" i="1"/>
  <c r="BV11" i="1"/>
  <c r="BV17" i="1"/>
  <c r="BV12" i="1"/>
  <c r="BT16" i="1"/>
  <c r="BR8" i="1"/>
  <c r="BT14" i="1"/>
  <c r="BX7" i="1"/>
  <c r="BS7" i="1" s="1"/>
  <c r="BR15" i="1"/>
  <c r="BT15" i="1"/>
  <c r="BX15" i="1"/>
  <c r="BU15" i="1" s="1"/>
  <c r="BX13" i="1"/>
  <c r="BU13" i="1" s="1"/>
  <c r="BV13" i="1"/>
  <c r="BV6" i="1"/>
  <c r="BR17" i="1"/>
  <c r="BT17" i="1"/>
  <c r="AH3" i="4"/>
  <c r="AG3" i="4" s="1"/>
  <c r="AE4" i="4"/>
  <c r="AE7" i="4"/>
  <c r="AE5" i="4"/>
  <c r="AE6" i="4"/>
  <c r="BX19" i="1"/>
  <c r="BU19" i="1" s="1"/>
  <c r="BR19" i="1"/>
  <c r="BT19" i="1"/>
  <c r="BT10" i="1"/>
  <c r="BX10" i="1"/>
  <c r="BU10" i="1" s="1"/>
  <c r="BW10" i="1" s="1"/>
  <c r="BR10" i="1"/>
  <c r="BV19" i="1"/>
  <c r="BT9" i="1"/>
  <c r="BX18" i="1"/>
  <c r="BR9" i="1"/>
  <c r="BT18" i="1"/>
  <c r="BX9" i="1"/>
  <c r="BS9" i="1" s="1"/>
  <c r="BR18" i="1"/>
  <c r="BV18" i="1"/>
  <c r="BR14" i="1"/>
  <c r="BX14" i="1"/>
  <c r="BS14" i="1" s="1"/>
  <c r="BR16" i="1"/>
  <c r="BV14" i="1"/>
  <c r="BX16" i="1"/>
  <c r="BU16" i="1" s="1"/>
  <c r="BW16" i="1" s="1"/>
  <c r="BX20" i="1"/>
  <c r="BU20" i="1" s="1"/>
  <c r="BT20" i="1"/>
  <c r="BR13" i="1"/>
  <c r="BT13" i="1"/>
  <c r="BV20" i="1"/>
  <c r="BR20" i="1"/>
  <c r="BT7" i="1"/>
  <c r="BX12" i="1"/>
  <c r="BU12" i="1" s="1"/>
  <c r="BT12" i="1"/>
  <c r="BR7" i="1"/>
  <c r="BR12" i="1"/>
  <c r="BV7" i="1"/>
  <c r="BT8" i="1"/>
  <c r="BX8" i="1"/>
  <c r="BS8" i="1" s="1"/>
  <c r="BQ8" i="1" s="1"/>
  <c r="BX11" i="1"/>
  <c r="BS11" i="1" s="1"/>
  <c r="BT11" i="1"/>
  <c r="BR11" i="1"/>
  <c r="BV5" i="1"/>
  <c r="BT6" i="1"/>
  <c r="BR5" i="1"/>
  <c r="BT5" i="1"/>
  <c r="BX6" i="1"/>
  <c r="BU6" i="1" s="1"/>
  <c r="BW6" i="1" s="1"/>
  <c r="BR6" i="1"/>
  <c r="BS17" i="1" l="1"/>
  <c r="BQ17" i="1" s="1"/>
  <c r="BP14" i="1"/>
  <c r="BW5" i="1"/>
  <c r="BW15" i="1"/>
  <c r="BP8" i="1"/>
  <c r="BS5" i="1"/>
  <c r="BQ5" i="1" s="1"/>
  <c r="BW17" i="1"/>
  <c r="BS10" i="1"/>
  <c r="BQ10" i="1" s="1"/>
  <c r="BW13" i="1"/>
  <c r="BW12" i="1"/>
  <c r="BP9" i="1"/>
  <c r="BS13" i="1"/>
  <c r="BQ13" i="1" s="1"/>
  <c r="BS15" i="1"/>
  <c r="BQ15" i="1" s="1"/>
  <c r="BP17" i="1"/>
  <c r="BP10" i="1"/>
  <c r="BU14" i="1"/>
  <c r="BW14" i="1" s="1"/>
  <c r="BQ9" i="1"/>
  <c r="BP16" i="1"/>
  <c r="BU7" i="1"/>
  <c r="BW7" i="1" s="1"/>
  <c r="BP15" i="1"/>
  <c r="BP18" i="1"/>
  <c r="BU9" i="1"/>
  <c r="BW9" i="1" s="1"/>
  <c r="BU11" i="1"/>
  <c r="BW11" i="1" s="1"/>
  <c r="BP20" i="1"/>
  <c r="BU8" i="1"/>
  <c r="BW8" i="1" s="1"/>
  <c r="BP13" i="1"/>
  <c r="BQ14" i="1"/>
  <c r="BS19" i="1"/>
  <c r="BQ19" i="1" s="1"/>
  <c r="BP7" i="1"/>
  <c r="Q25" i="1"/>
  <c r="AF3" i="4"/>
  <c r="R25" i="1" s="1"/>
  <c r="AH6" i="4"/>
  <c r="AG6" i="4" s="1"/>
  <c r="AH5" i="4"/>
  <c r="AG5" i="4" s="1"/>
  <c r="AH7" i="4"/>
  <c r="AG7" i="4" s="1"/>
  <c r="AH4" i="4"/>
  <c r="AG4" i="4" s="1"/>
  <c r="BP19" i="1"/>
  <c r="BW19" i="1"/>
  <c r="BS18" i="1"/>
  <c r="BQ18" i="1" s="1"/>
  <c r="BU18" i="1"/>
  <c r="BW18" i="1" s="1"/>
  <c r="BS16" i="1"/>
  <c r="BQ16" i="1" s="1"/>
  <c r="BW20" i="1"/>
  <c r="BS20" i="1"/>
  <c r="BQ20" i="1" s="1"/>
  <c r="BS12" i="1"/>
  <c r="BQ12" i="1" s="1"/>
  <c r="BP12" i="1"/>
  <c r="BQ7" i="1"/>
  <c r="BQ11" i="1"/>
  <c r="BP11" i="1"/>
  <c r="BS6" i="1"/>
  <c r="BQ6" i="1" s="1"/>
  <c r="BP6" i="1"/>
  <c r="BP5" i="1"/>
  <c r="Q27" i="1" l="1"/>
  <c r="AF5" i="4"/>
  <c r="R27" i="1" s="1"/>
  <c r="Q29" i="1"/>
  <c r="AF7" i="4"/>
  <c r="R29" i="1" s="1"/>
  <c r="Q28" i="1"/>
  <c r="AF6" i="4"/>
  <c r="R28" i="1" s="1"/>
  <c r="Q26" i="1"/>
  <c r="AF4" i="4"/>
  <c r="R26" i="1" s="1"/>
  <c r="BN20" i="1"/>
  <c r="BN16" i="1"/>
  <c r="BN14" i="1"/>
  <c r="BN12" i="1"/>
  <c r="BN19" i="1"/>
  <c r="BN17" i="1"/>
  <c r="BN11" i="1"/>
  <c r="BN10" i="1"/>
  <c r="BN8" i="1"/>
  <c r="BN5" i="1"/>
  <c r="BN15" i="1"/>
  <c r="BN6" i="1"/>
  <c r="BN13" i="1"/>
  <c r="BN9" i="1"/>
  <c r="BN7" i="1"/>
  <c r="BN18" i="1"/>
  <c r="BZ7" i="1" l="1"/>
  <c r="L7" i="1" s="1"/>
  <c r="BZ10" i="1"/>
  <c r="K10" i="1" s="1"/>
  <c r="BZ12" i="1"/>
  <c r="L12" i="1" s="1"/>
  <c r="BZ6" i="1"/>
  <c r="L6" i="1" s="1"/>
  <c r="BZ5" i="1"/>
  <c r="J5" i="1" s="1"/>
  <c r="BZ14" i="1"/>
  <c r="K14" i="1" s="1"/>
  <c r="BZ20" i="1"/>
  <c r="H20" i="1" s="1"/>
  <c r="BZ16" i="1"/>
  <c r="D16" i="1" s="1"/>
  <c r="BZ13" i="1"/>
  <c r="D13" i="1" s="1"/>
  <c r="BZ9" i="1"/>
  <c r="H9" i="1" s="1"/>
  <c r="BZ18" i="1"/>
  <c r="D18" i="1" s="1"/>
  <c r="BZ19" i="1"/>
  <c r="H19" i="1" s="1"/>
  <c r="BZ11" i="1"/>
  <c r="K11" i="1" s="1"/>
  <c r="BZ8" i="1"/>
  <c r="J8" i="1" s="1"/>
  <c r="BZ15" i="1"/>
  <c r="D15" i="1" s="1"/>
  <c r="BZ17" i="1"/>
  <c r="I17" i="1" s="1"/>
  <c r="H13" i="1" l="1"/>
  <c r="K9" i="1"/>
  <c r="L5" i="1"/>
  <c r="D10" i="1"/>
  <c r="I10" i="1"/>
  <c r="K7" i="1"/>
  <c r="M7" i="1" s="1"/>
  <c r="H7" i="1"/>
  <c r="H10" i="1"/>
  <c r="D9" i="1"/>
  <c r="I15" i="1"/>
  <c r="J12" i="1"/>
  <c r="I19" i="1"/>
  <c r="I18" i="1"/>
  <c r="I14" i="1"/>
  <c r="L19" i="1"/>
  <c r="J6" i="1"/>
  <c r="I6" i="1"/>
  <c r="H12" i="1"/>
  <c r="D7" i="1"/>
  <c r="H18" i="1"/>
  <c r="H6" i="1"/>
  <c r="K12" i="1"/>
  <c r="M12" i="1" s="1"/>
  <c r="I7" i="1"/>
  <c r="J18" i="1"/>
  <c r="K6" i="1"/>
  <c r="M6" i="1" s="1"/>
  <c r="D12" i="1"/>
  <c r="J7" i="1"/>
  <c r="K18" i="1"/>
  <c r="D19" i="1"/>
  <c r="L10" i="1"/>
  <c r="M10" i="1" s="1"/>
  <c r="L18" i="1"/>
  <c r="K19" i="1"/>
  <c r="K16" i="1"/>
  <c r="J20" i="1"/>
  <c r="E20" i="1" s="1"/>
  <c r="D14" i="1"/>
  <c r="L14" i="1"/>
  <c r="M14" i="1" s="1"/>
  <c r="I5" i="1"/>
  <c r="D6" i="1"/>
  <c r="I12" i="1"/>
  <c r="K15" i="1"/>
  <c r="L11" i="1"/>
  <c r="M11" i="1" s="1"/>
  <c r="K17" i="1"/>
  <c r="I8" i="1"/>
  <c r="H5" i="1"/>
  <c r="E5" i="1" s="1"/>
  <c r="J19" i="1"/>
  <c r="E19" i="1" s="1"/>
  <c r="J15" i="1"/>
  <c r="J11" i="1"/>
  <c r="H17" i="1"/>
  <c r="J9" i="1"/>
  <c r="E9" i="1" s="1"/>
  <c r="H8" i="1"/>
  <c r="E8" i="1" s="1"/>
  <c r="H14" i="1"/>
  <c r="H11" i="1"/>
  <c r="J16" i="1"/>
  <c r="D5" i="1"/>
  <c r="D11" i="1"/>
  <c r="J13" i="1"/>
  <c r="H16" i="1"/>
  <c r="L17" i="1"/>
  <c r="M17" i="1" s="1"/>
  <c r="I13" i="1"/>
  <c r="L15" i="1"/>
  <c r="D20" i="1"/>
  <c r="H15" i="1"/>
  <c r="L20" i="1"/>
  <c r="L9" i="1"/>
  <c r="J14" i="1"/>
  <c r="K8" i="1"/>
  <c r="K5" i="1"/>
  <c r="M5" i="1" s="1"/>
  <c r="J10" i="1"/>
  <c r="L16" i="1"/>
  <c r="K20" i="1"/>
  <c r="I11" i="1"/>
  <c r="J17" i="1"/>
  <c r="F17" i="1" s="1"/>
  <c r="I9" i="1"/>
  <c r="K13" i="1"/>
  <c r="D8" i="1"/>
  <c r="I16" i="1"/>
  <c r="I20" i="1"/>
  <c r="D17" i="1"/>
  <c r="L13" i="1"/>
  <c r="L8" i="1"/>
  <c r="F9" i="1" l="1"/>
  <c r="N9" i="1" s="1"/>
  <c r="E13" i="1"/>
  <c r="M9" i="1"/>
  <c r="E10" i="1"/>
  <c r="E16" i="1"/>
  <c r="E14" i="1"/>
  <c r="M13" i="1"/>
  <c r="M8" i="1"/>
  <c r="M19" i="1"/>
  <c r="M16" i="1"/>
  <c r="F14" i="1"/>
  <c r="M15" i="1"/>
  <c r="E11" i="1"/>
  <c r="E18" i="1"/>
  <c r="F10" i="1"/>
  <c r="F7" i="1"/>
  <c r="F12" i="1"/>
  <c r="F6" i="1"/>
  <c r="E7" i="1"/>
  <c r="F13" i="1"/>
  <c r="M18" i="1"/>
  <c r="E6" i="1"/>
  <c r="F18" i="1"/>
  <c r="F20" i="1"/>
  <c r="N20" i="1" s="1"/>
  <c r="F16" i="1"/>
  <c r="F11" i="1"/>
  <c r="E12" i="1"/>
  <c r="L6" i="4"/>
  <c r="F15" i="1"/>
  <c r="L5" i="4"/>
  <c r="L8" i="4"/>
  <c r="F19" i="1"/>
  <c r="N19" i="1" s="1"/>
  <c r="L9" i="4"/>
  <c r="E15" i="1"/>
  <c r="F8" i="1"/>
  <c r="N8" i="1" s="1"/>
  <c r="F5" i="1"/>
  <c r="M20" i="1"/>
  <c r="L10" i="4"/>
  <c r="L3" i="4"/>
  <c r="L4" i="4"/>
  <c r="E17" i="1"/>
  <c r="N17" i="1" s="1"/>
  <c r="L7" i="4"/>
  <c r="N13" i="1" l="1"/>
  <c r="N7" i="1"/>
  <c r="N11" i="1"/>
  <c r="N10" i="1"/>
  <c r="N16" i="1"/>
  <c r="N14" i="1"/>
  <c r="N6" i="1"/>
  <c r="N18" i="1"/>
  <c r="G8" i="1"/>
  <c r="G10" i="1"/>
  <c r="C14" i="1"/>
  <c r="C12" i="1"/>
  <c r="C18" i="1"/>
  <c r="C7" i="1"/>
  <c r="G6" i="1"/>
  <c r="N12" i="1"/>
  <c r="C13" i="1"/>
  <c r="C8" i="1"/>
  <c r="G9" i="1"/>
  <c r="C11" i="1"/>
  <c r="G20" i="1"/>
  <c r="N5" i="1"/>
  <c r="G14" i="1"/>
  <c r="G17" i="1"/>
  <c r="C9" i="1"/>
  <c r="N15" i="1"/>
  <c r="C20" i="1"/>
  <c r="G5" i="1"/>
  <c r="G11" i="1"/>
  <c r="G16" i="1"/>
  <c r="G12" i="1"/>
  <c r="G7" i="1"/>
  <c r="G13" i="1"/>
  <c r="G19" i="1"/>
  <c r="G15" i="1"/>
  <c r="G18" i="1"/>
  <c r="C15" i="1"/>
  <c r="C10" i="1"/>
  <c r="C6" i="1"/>
  <c r="C17" i="1"/>
  <c r="C16" i="1"/>
  <c r="C19" i="1"/>
</calcChain>
</file>

<file path=xl/sharedStrings.xml><?xml version="1.0" encoding="utf-8"?>
<sst xmlns="http://schemas.openxmlformats.org/spreadsheetml/2006/main" count="537" uniqueCount="149">
  <si>
    <t>Updated:</t>
  </si>
  <si>
    <t>P</t>
  </si>
  <si>
    <t>M</t>
  </si>
  <si>
    <t>W</t>
  </si>
  <si>
    <t>V</t>
  </si>
  <si>
    <t>G</t>
  </si>
  <si>
    <t>+</t>
  </si>
  <si>
    <t>-</t>
  </si>
  <si>
    <t>S</t>
  </si>
  <si>
    <t>VP</t>
  </si>
  <si>
    <t>Spd.</t>
  </si>
  <si>
    <t>Datum</t>
  </si>
  <si>
    <t>Competitie</t>
  </si>
  <si>
    <t>Ronde</t>
  </si>
  <si>
    <t>Uur</t>
  </si>
  <si>
    <t>Match</t>
  </si>
  <si>
    <t>Uitslag</t>
  </si>
  <si>
    <t>Speeldag</t>
  </si>
  <si>
    <t>* regeling forfaits</t>
  </si>
  <si>
    <t>Top-5</t>
  </si>
  <si>
    <t>Uitslag / Plaatsen</t>
  </si>
  <si>
    <t>Thuisploeg</t>
  </si>
  <si>
    <t>Uitploeg</t>
  </si>
  <si>
    <t>uitslag</t>
  </si>
  <si>
    <t>Topschutters:</t>
  </si>
  <si>
    <t>hulp: thuis</t>
  </si>
  <si>
    <t>hulp: uit</t>
  </si>
  <si>
    <t>hulp: uitslag</t>
  </si>
  <si>
    <t>Hulp: # goals</t>
  </si>
  <si>
    <t xml:space="preserve">Recentste duels op </t>
  </si>
  <si>
    <t># ongekende datums</t>
  </si>
  <si>
    <t>VO kleurtje speeldag</t>
  </si>
  <si>
    <t>berekening stand</t>
  </si>
  <si>
    <t>aantal ploegen</t>
  </si>
  <si>
    <t>aantal matchen / ploeg</t>
  </si>
  <si>
    <t>Lierse</t>
  </si>
  <si>
    <t>Goals</t>
  </si>
  <si>
    <t>Own-goals</t>
  </si>
  <si>
    <t>Forfait goals</t>
  </si>
  <si>
    <t>TOTAAL</t>
  </si>
  <si>
    <t>Anderlecht</t>
  </si>
  <si>
    <t>Cercle Brugge</t>
  </si>
  <si>
    <t>Club Brugge</t>
  </si>
  <si>
    <t>Genk</t>
  </si>
  <si>
    <t>Gent</t>
  </si>
  <si>
    <t>Kortrijk</t>
  </si>
  <si>
    <t>KV Mechelen</t>
  </si>
  <si>
    <t>Lokeren</t>
  </si>
  <si>
    <t>Standard</t>
  </si>
  <si>
    <t>Zulte-Waregem</t>
  </si>
  <si>
    <t>1-1</t>
  </si>
  <si>
    <t>0-0</t>
  </si>
  <si>
    <t>1-0</t>
  </si>
  <si>
    <t>2-0</t>
  </si>
  <si>
    <t>Ploeg</t>
  </si>
  <si>
    <t>Kalender</t>
  </si>
  <si>
    <t>Kortrijk - Lierse</t>
  </si>
  <si>
    <t>Lierse - Genk</t>
  </si>
  <si>
    <t>KV Mechelen - Lierse</t>
  </si>
  <si>
    <t>Gent - Lierse</t>
  </si>
  <si>
    <t>Lierse - Lokeren</t>
  </si>
  <si>
    <t>Cercle Brugge - Lierse</t>
  </si>
  <si>
    <t>Standard - Lierse</t>
  </si>
  <si>
    <t>Zulte-Waregem - Lierse</t>
  </si>
  <si>
    <t>Anderlecht - Lierse</t>
  </si>
  <si>
    <t>Lierse - Club Brugge</t>
  </si>
  <si>
    <t>Lierse - KV Mechelen</t>
  </si>
  <si>
    <t>Genk - Lierse</t>
  </si>
  <si>
    <t>Lierse - Kortrijk</t>
  </si>
  <si>
    <t>Lierse - Gent</t>
  </si>
  <si>
    <t>Lokeren - Lierse</t>
  </si>
  <si>
    <t>Lierse - Cercle Brugge</t>
  </si>
  <si>
    <t>Lierse - Standard</t>
  </si>
  <si>
    <t>Lierse - Zulte-Waregem</t>
  </si>
  <si>
    <t>Lierse - Anderlecht</t>
  </si>
  <si>
    <t>Club Brugge - Lierse</t>
  </si>
  <si>
    <t>Jaar</t>
  </si>
  <si>
    <t>Waasland-Beveren</t>
  </si>
  <si>
    <t>Charleroi</t>
  </si>
  <si>
    <t>Bourabia Rachid</t>
  </si>
  <si>
    <t>Wils Thomas</t>
  </si>
  <si>
    <t>Waasland-Beveren - Lierse</t>
  </si>
  <si>
    <t>Lierse - Charleroi</t>
  </si>
  <si>
    <t>Lierse - Waasland-Beveren</t>
  </si>
  <si>
    <t>Charleroi - Lierse</t>
  </si>
  <si>
    <t>0-2</t>
  </si>
  <si>
    <t>3-0</t>
  </si>
  <si>
    <t>Oostende</t>
  </si>
  <si>
    <t>Lierse - Oostende</t>
  </si>
  <si>
    <t>Oostende - Lierse</t>
  </si>
  <si>
    <t>3-1</t>
  </si>
  <si>
    <t>Losada Hernan</t>
  </si>
  <si>
    <t>0-1</t>
  </si>
  <si>
    <t>aantal spelers</t>
  </si>
  <si>
    <t>Wanderson</t>
  </si>
  <si>
    <t>Rang</t>
  </si>
  <si>
    <t>Naam</t>
  </si>
  <si>
    <t>Moeskroen-Peruwelz</t>
  </si>
  <si>
    <t>Westerlo</t>
  </si>
  <si>
    <t>© 2014/2015 - Wim Gielis - wim.gielis@gmail.com - http://www.wimgielis.be</t>
  </si>
  <si>
    <t>Keita Alhassane</t>
  </si>
  <si>
    <t>Lierse - Moeskroen-Peruwelz</t>
  </si>
  <si>
    <t>Westerlo - Lierse</t>
  </si>
  <si>
    <t>Moeskroen-Peruwelz - Lierse</t>
  </si>
  <si>
    <t>Lierse - Westerlo</t>
  </si>
  <si>
    <t>2-3</t>
  </si>
  <si>
    <t>2-1</t>
  </si>
  <si>
    <t>2-2</t>
  </si>
  <si>
    <t>1-2</t>
  </si>
  <si>
    <t>5-2</t>
  </si>
  <si>
    <t>3-2</t>
  </si>
  <si>
    <t>4-0</t>
  </si>
  <si>
    <t>1-4</t>
  </si>
  <si>
    <t>3-5</t>
  </si>
  <si>
    <t>Ngawa Pierre-Yves</t>
  </si>
  <si>
    <t>6-1</t>
  </si>
  <si>
    <t>1-3</t>
  </si>
  <si>
    <t>Hafez Karim</t>
  </si>
  <si>
    <t>Lierse - STVV</t>
  </si>
  <si>
    <t>5-0</t>
  </si>
  <si>
    <t>Vellios Apostolos</t>
  </si>
  <si>
    <t>Matoukou Eric</t>
  </si>
  <si>
    <t>Sayed Ahmed</t>
  </si>
  <si>
    <t>Masika Ajub</t>
  </si>
  <si>
    <t>4-1</t>
  </si>
  <si>
    <t>0-4</t>
  </si>
  <si>
    <t>4-2</t>
  </si>
  <si>
    <t>Kouemaha Dorge</t>
  </si>
  <si>
    <t>2-1 nv</t>
  </si>
  <si>
    <t>3-3</t>
  </si>
  <si>
    <t>Nwofor Uche</t>
  </si>
  <si>
    <t>Traore Hamary</t>
  </si>
  <si>
    <t>6-0</t>
  </si>
  <si>
    <t>0-6</t>
  </si>
  <si>
    <t>1-7</t>
  </si>
  <si>
    <t>0-3</t>
  </si>
  <si>
    <t>Mojsov Daniel</t>
  </si>
  <si>
    <t>Velikonja Etien</t>
  </si>
  <si>
    <t>Kasmi Faisel</t>
  </si>
  <si>
    <t>Hassan Ahmed</t>
  </si>
  <si>
    <t>4-3</t>
  </si>
  <si>
    <t>Anderlecht - Gent</t>
  </si>
  <si>
    <t>Cercle Brugge - KV Mechelen</t>
  </si>
  <si>
    <t>Charleroi - Moeskroen-Peruwelz</t>
  </si>
  <si>
    <t>Standard - Genk</t>
  </si>
  <si>
    <t>Waasland-Beveren - Lokeren</t>
  </si>
  <si>
    <t>Westerlo - Club Brugge</t>
  </si>
  <si>
    <t>Zulte-Waregem - Oostende</t>
  </si>
  <si>
    <t>Geen wedstrijden voor LIERSE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</si>
</sst>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ddd\ d/m/yy&quot; (&quot;hh&quot;u&quot;mm&quot;)&quot;"/>
    <numFmt numFmtId="165" formatCode="dd/mm/yy"/>
    <numFmt numFmtId="166" formatCode="d\-m"/>
    <numFmt numFmtId="167" formatCode="dd/mm/yyyy"/>
    <numFmt numFmtId="168" formatCode="0&quot;.&quot;"/>
    <numFmt numFmtId="169" formatCode="&quot;+&quot;##;&quot;-&quot;##;0"/>
    <numFmt numFmtId="170" formatCode="d/m/yy"/>
    <numFmt numFmtId="171" formatCode="ddd\ d/m/yy"/>
    <numFmt numFmtId="172" formatCode="h&quot;u&quot;mm"/>
    <numFmt numFmtId="173" formatCode="_-[$€]\ * #,##0.00_-;_-[$€]\ * #,##0.00\-;_-[$€]\ * &quot;-&quot;??_-;_-@_-"/>
    <numFmt numFmtId="174" formatCode="d/m"/>
    <numFmt numFmtId="175" formatCode="0.0"/>
  </numFmts>
  <fonts count="22" x14ac:knownFonts="1">
    <font>
      <sz val="10"/>
      <name val="Arial"/>
    </font>
    <font>
      <sz val="10"/>
      <name val="Arial"/>
      <family val="2"/>
    </font>
    <font>
      <sz val="8"/>
      <name val="Comic Sans MS"/>
      <family val="4"/>
    </font>
    <font>
      <sz val="10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i/>
      <u/>
      <sz val="28"/>
      <color indexed="8"/>
      <name val="Comic Sans MS"/>
      <family val="4"/>
    </font>
    <font>
      <sz val="9"/>
      <name val="Comic Sans MS"/>
      <family val="4"/>
    </font>
    <font>
      <u/>
      <sz val="10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sz val="10"/>
      <name val="Arial"/>
      <family val="2"/>
    </font>
    <font>
      <sz val="10"/>
      <color indexed="9"/>
      <name val="Comic Sans MS"/>
      <family val="4"/>
    </font>
    <font>
      <i/>
      <sz val="8"/>
      <name val="Comic Sans MS"/>
      <family val="4"/>
    </font>
    <font>
      <sz val="12"/>
      <name val="Comic Sans MS"/>
      <family val="4"/>
    </font>
    <font>
      <sz val="9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name val="Comic Sans MS"/>
      <family val="4"/>
    </font>
    <font>
      <sz val="10"/>
      <name val="Comic Sans MS"/>
      <family val="4"/>
    </font>
    <font>
      <sz val="10"/>
      <name val="Comic Sans MS"/>
      <family val="4"/>
    </font>
    <font>
      <sz val="10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/>
    <xf numFmtId="0" fontId="2" fillId="0" borderId="0" xfId="0" applyFont="1"/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6" fontId="7" fillId="2" borderId="3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2" fillId="0" borderId="0" xfId="0" quotePrefix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49" fontId="3" fillId="2" borderId="1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0" borderId="0" xfId="0" applyNumberFormat="1" applyFont="1"/>
    <xf numFmtId="14" fontId="3" fillId="0" borderId="0" xfId="0" applyNumberFormat="1" applyFont="1" applyAlignment="1">
      <alignment horizontal="center"/>
    </xf>
    <xf numFmtId="168" fontId="3" fillId="0" borderId="0" xfId="0" applyNumberFormat="1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1" fontId="3" fillId="0" borderId="0" xfId="0" applyNumberFormat="1" applyFont="1" applyFill="1" applyAlignment="1" applyProtection="1">
      <alignment horizontal="center" vertical="center"/>
    </xf>
    <xf numFmtId="165" fontId="8" fillId="0" borderId="0" xfId="0" applyNumberFormat="1" applyFont="1" applyFill="1" applyAlignment="1" applyProtection="1">
      <alignment horizontal="right" vertical="center"/>
      <protection locked="0"/>
    </xf>
    <xf numFmtId="170" fontId="3" fillId="0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/>
    <xf numFmtId="0" fontId="3" fillId="0" borderId="14" xfId="0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166" fontId="7" fillId="2" borderId="15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/>
    <xf numFmtId="49" fontId="3" fillId="0" borderId="23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4" borderId="24" xfId="0" applyNumberFormat="1" applyFont="1" applyFill="1" applyBorder="1" applyAlignment="1" applyProtection="1">
      <alignment horizontal="centerContinuous" vertical="center"/>
      <protection locked="0"/>
    </xf>
    <xf numFmtId="0" fontId="3" fillId="4" borderId="25" xfId="0" applyNumberFormat="1" applyFont="1" applyFill="1" applyBorder="1" applyAlignment="1" applyProtection="1">
      <alignment horizontal="centerContinuous" vertical="center"/>
      <protection locked="0"/>
    </xf>
    <xf numFmtId="0" fontId="3" fillId="4" borderId="26" xfId="0" applyNumberFormat="1" applyFont="1" applyFill="1" applyBorder="1" applyAlignment="1" applyProtection="1">
      <alignment horizontal="centerContinuous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/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174" fontId="12" fillId="0" borderId="0" xfId="0" applyNumberFormat="1" applyFont="1"/>
    <xf numFmtId="0" fontId="12" fillId="0" borderId="0" xfId="0" applyFont="1"/>
    <xf numFmtId="0" fontId="8" fillId="0" borderId="0" xfId="0" applyFont="1" applyAlignment="1">
      <alignment horizontal="left"/>
    </xf>
    <xf numFmtId="165" fontId="3" fillId="0" borderId="0" xfId="0" applyNumberFormat="1" applyFont="1" applyFill="1" applyAlignment="1" applyProtection="1">
      <alignment vertical="center"/>
      <protection locked="0"/>
    </xf>
    <xf numFmtId="0" fontId="3" fillId="0" borderId="0" xfId="0" quotePrefix="1" applyFont="1"/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5" borderId="24" xfId="0" applyFont="1" applyFill="1" applyBorder="1"/>
    <xf numFmtId="0" fontId="3" fillId="5" borderId="25" xfId="0" applyFont="1" applyFill="1" applyBorder="1"/>
    <xf numFmtId="0" fontId="3" fillId="5" borderId="26" xfId="0" applyFont="1" applyFill="1" applyBorder="1"/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7" fillId="0" borderId="31" xfId="0" applyNumberFormat="1" applyFont="1" applyFill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33" xfId="0" applyNumberFormat="1" applyFont="1" applyFill="1" applyBorder="1" applyAlignment="1">
      <alignment horizontal="center"/>
    </xf>
    <xf numFmtId="166" fontId="7" fillId="0" borderId="27" xfId="0" applyNumberFormat="1" applyFont="1" applyFill="1" applyBorder="1" applyAlignment="1">
      <alignment horizontal="center"/>
    </xf>
    <xf numFmtId="166" fontId="7" fillId="0" borderId="28" xfId="0" applyNumberFormat="1" applyFont="1" applyFill="1" applyBorder="1" applyAlignment="1">
      <alignment horizontal="center"/>
    </xf>
    <xf numFmtId="166" fontId="7" fillId="0" borderId="29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166" fontId="7" fillId="0" borderId="30" xfId="0" applyNumberFormat="1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/>
    </xf>
    <xf numFmtId="49" fontId="3" fillId="0" borderId="35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6" fontId="7" fillId="0" borderId="23" xfId="0" applyNumberFormat="1" applyFont="1" applyFill="1" applyBorder="1" applyAlignment="1">
      <alignment horizontal="center"/>
    </xf>
    <xf numFmtId="166" fontId="7" fillId="0" borderId="35" xfId="0" applyNumberFormat="1" applyFont="1" applyFill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  <xf numFmtId="166" fontId="7" fillId="0" borderId="34" xfId="0" applyNumberFormat="1" applyFont="1" applyFill="1" applyBorder="1" applyAlignment="1">
      <alignment horizontal="center"/>
    </xf>
    <xf numFmtId="166" fontId="7" fillId="0" borderId="36" xfId="0" applyNumberFormat="1" applyFont="1" applyFill="1" applyBorder="1" applyAlignment="1">
      <alignment horizontal="center"/>
    </xf>
    <xf numFmtId="166" fontId="7" fillId="0" borderId="37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49" fontId="3" fillId="0" borderId="37" xfId="0" applyNumberFormat="1" applyFont="1" applyFill="1" applyBorder="1" applyAlignment="1">
      <alignment horizontal="center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14" fillId="5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1" fillId="0" borderId="0" xfId="0" applyFont="1" applyAlignment="1">
      <alignment horizontal="left"/>
    </xf>
    <xf numFmtId="0" fontId="15" fillId="5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15" fillId="5" borderId="0" xfId="0" applyNumberFormat="1" applyFont="1" applyFill="1" applyAlignment="1" applyProtection="1">
      <alignment horizontal="center" vertical="center"/>
      <protection locked="0"/>
    </xf>
    <xf numFmtId="17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Alignment="1">
      <alignment horizontal="center"/>
    </xf>
    <xf numFmtId="14" fontId="11" fillId="0" borderId="0" xfId="0" applyNumberFormat="1" applyFont="1"/>
    <xf numFmtId="171" fontId="11" fillId="0" borderId="0" xfId="0" applyNumberFormat="1" applyFont="1" applyFill="1" applyAlignment="1" applyProtection="1">
      <alignment horizontal="left" vertical="center"/>
      <protection locked="0"/>
    </xf>
    <xf numFmtId="172" fontId="11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/>
    <xf numFmtId="0" fontId="11" fillId="0" borderId="0" xfId="0" applyNumberFormat="1" applyFont="1" applyAlignment="1"/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quotePrefix="1" applyFont="1" applyAlignment="1">
      <alignment horizontal="center"/>
    </xf>
    <xf numFmtId="49" fontId="3" fillId="6" borderId="35" xfId="0" applyNumberFormat="1" applyFont="1" applyFill="1" applyBorder="1" applyAlignment="1">
      <alignment horizontal="center"/>
    </xf>
    <xf numFmtId="49" fontId="3" fillId="6" borderId="34" xfId="0" applyNumberFormat="1" applyFont="1" applyFill="1" applyBorder="1" applyAlignment="1">
      <alignment horizontal="center"/>
    </xf>
    <xf numFmtId="0" fontId="7" fillId="6" borderId="31" xfId="0" applyNumberFormat="1" applyFont="1" applyFill="1" applyBorder="1" applyAlignment="1">
      <alignment horizontal="center"/>
    </xf>
    <xf numFmtId="0" fontId="7" fillId="6" borderId="17" xfId="0" applyNumberFormat="1" applyFont="1" applyFill="1" applyBorder="1" applyAlignment="1">
      <alignment horizontal="center"/>
    </xf>
    <xf numFmtId="0" fontId="7" fillId="6" borderId="18" xfId="0" applyNumberFormat="1" applyFont="1" applyFill="1" applyBorder="1" applyAlignment="1">
      <alignment horizontal="center"/>
    </xf>
    <xf numFmtId="0" fontId="7" fillId="6" borderId="13" xfId="0" applyNumberFormat="1" applyFont="1" applyFill="1" applyBorder="1" applyAlignment="1">
      <alignment horizontal="center"/>
    </xf>
    <xf numFmtId="0" fontId="7" fillId="6" borderId="19" xfId="0" applyNumberFormat="1" applyFont="1" applyFill="1" applyBorder="1" applyAlignment="1">
      <alignment horizontal="center"/>
    </xf>
    <xf numFmtId="166" fontId="7" fillId="6" borderId="17" xfId="0" applyNumberFormat="1" applyFont="1" applyFill="1" applyBorder="1" applyAlignment="1">
      <alignment horizontal="center"/>
    </xf>
    <xf numFmtId="166" fontId="7" fillId="6" borderId="3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35" xfId="0" applyNumberFormat="1" applyFont="1" applyFill="1" applyBorder="1" applyAlignment="1">
      <alignment horizontal="center"/>
    </xf>
    <xf numFmtId="166" fontId="7" fillId="6" borderId="27" xfId="0" applyNumberFormat="1" applyFont="1" applyFill="1" applyBorder="1" applyAlignment="1">
      <alignment horizontal="center"/>
    </xf>
    <xf numFmtId="166" fontId="7" fillId="6" borderId="16" xfId="0" applyNumberFormat="1" applyFont="1" applyFill="1" applyBorder="1" applyAlignment="1">
      <alignment horizontal="center"/>
    </xf>
    <xf numFmtId="166" fontId="7" fillId="6" borderId="34" xfId="0" applyNumberFormat="1" applyFont="1" applyFill="1" applyBorder="1" applyAlignment="1">
      <alignment horizontal="center"/>
    </xf>
    <xf numFmtId="0" fontId="11" fillId="0" borderId="0" xfId="0" quotePrefix="1" applyFont="1" applyFill="1" applyAlignment="1" applyProtection="1">
      <alignment horizontal="left" vertical="center"/>
      <protection locked="0"/>
    </xf>
    <xf numFmtId="49" fontId="3" fillId="6" borderId="3" xfId="0" applyNumberFormat="1" applyFont="1" applyFill="1" applyBorder="1" applyAlignment="1">
      <alignment horizontal="center"/>
    </xf>
    <xf numFmtId="49" fontId="3" fillId="6" borderId="23" xfId="0" applyNumberFormat="1" applyFont="1" applyFill="1" applyBorder="1" applyAlignment="1">
      <alignment horizontal="center"/>
    </xf>
    <xf numFmtId="49" fontId="3" fillId="6" borderId="17" xfId="0" applyNumberFormat="1" applyFont="1" applyFill="1" applyBorder="1" applyAlignment="1">
      <alignment horizontal="center"/>
    </xf>
    <xf numFmtId="49" fontId="3" fillId="6" borderId="27" xfId="0" applyNumberFormat="1" applyFont="1" applyFill="1" applyBorder="1" applyAlignment="1">
      <alignment horizontal="center"/>
    </xf>
    <xf numFmtId="49" fontId="3" fillId="6" borderId="16" xfId="0" applyNumberFormat="1" applyFont="1" applyFill="1" applyBorder="1" applyAlignment="1">
      <alignment horizontal="center"/>
    </xf>
    <xf numFmtId="49" fontId="10" fillId="0" borderId="22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0" xfId="0" applyFont="1"/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170" fontId="1" fillId="0" borderId="0" xfId="0" applyNumberFormat="1" applyFont="1" applyAlignment="1">
      <alignment horizont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70" fontId="1" fillId="0" borderId="0" xfId="0" applyNumberFormat="1" applyFont="1" applyFill="1" applyAlignment="1" applyProtection="1">
      <alignment horizontal="center" vertical="center"/>
      <protection locked="0"/>
    </xf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 applyProtection="1">
      <alignment horizontal="left" vertical="center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0" fontId="18" fillId="0" borderId="0" xfId="0" applyFont="1" applyFill="1"/>
    <xf numFmtId="0" fontId="0" fillId="0" borderId="0" xfId="0" applyFont="1"/>
    <xf numFmtId="0" fontId="15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175" fontId="3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 applyProtection="1">
      <alignment horizontal="center" vertical="center"/>
      <protection locked="0"/>
    </xf>
    <xf numFmtId="0" fontId="19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0" fillId="0" borderId="0" xfId="0" applyFont="1" applyFill="1"/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NumberFormat="1" applyFont="1" applyFill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49" fontId="17" fillId="0" borderId="0" xfId="0" applyNumberFormat="1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0" fontId="14" fillId="5" borderId="40" xfId="0" applyFont="1" applyFill="1" applyBorder="1" applyAlignment="1">
      <alignment horizontal="center" vertical="center" textRotation="90"/>
    </xf>
    <xf numFmtId="0" fontId="14" fillId="5" borderId="41" xfId="0" applyFont="1" applyFill="1" applyBorder="1" applyAlignment="1">
      <alignment horizontal="center" vertical="center" textRotation="90"/>
    </xf>
    <xf numFmtId="49" fontId="6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38" xfId="0" applyFont="1" applyFill="1" applyBorder="1" applyAlignment="1">
      <alignment horizontal="center"/>
    </xf>
    <xf numFmtId="0" fontId="3" fillId="5" borderId="39" xfId="0" applyFont="1" applyFill="1" applyBorder="1" applyAlignment="1">
      <alignment horizontal="center"/>
    </xf>
    <xf numFmtId="167" fontId="3" fillId="4" borderId="24" xfId="0" applyNumberFormat="1" applyFont="1" applyFill="1" applyBorder="1" applyAlignment="1" applyProtection="1">
      <alignment horizontal="center" vertical="center"/>
      <protection locked="0"/>
    </xf>
    <xf numFmtId="167" fontId="3" fillId="4" borderId="25" xfId="0" applyNumberFormat="1" applyFont="1" applyFill="1" applyBorder="1" applyAlignment="1" applyProtection="1">
      <alignment horizontal="center" vertical="center"/>
      <protection locked="0"/>
    </xf>
    <xf numFmtId="167" fontId="3" fillId="4" borderId="26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/>
    </xf>
  </cellXfs>
  <cellStyles count="2">
    <cellStyle name="Euro" xfId="1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omic Sans MS"/>
        <scheme val="none"/>
      </font>
      <fill>
        <patternFill patternType="none">
          <fgColor indexed="64"/>
          <bgColor indexed="6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8.emf"/><Relationship Id="rId7" Type="http://schemas.openxmlformats.org/officeDocument/2006/relationships/image" Target="../media/image5.emf"/><Relationship Id="rId12" Type="http://schemas.openxmlformats.org/officeDocument/2006/relationships/image" Target="../media/image1.emf"/><Relationship Id="rId2" Type="http://schemas.openxmlformats.org/officeDocument/2006/relationships/image" Target="../media/image9.emf"/><Relationship Id="rId1" Type="http://schemas.openxmlformats.org/officeDocument/2006/relationships/image" Target="../media/image10.emf"/><Relationship Id="rId6" Type="http://schemas.openxmlformats.org/officeDocument/2006/relationships/image" Target="../media/image6.emf"/><Relationship Id="rId11" Type="http://schemas.openxmlformats.org/officeDocument/2006/relationships/image" Target="../media/image12.emf"/><Relationship Id="rId5" Type="http://schemas.openxmlformats.org/officeDocument/2006/relationships/image" Target="../media/image7.emf"/><Relationship Id="rId10" Type="http://schemas.openxmlformats.org/officeDocument/2006/relationships/image" Target="../media/image11.emf"/><Relationship Id="rId4" Type="http://schemas.openxmlformats.org/officeDocument/2006/relationships/image" Target="../media/image2.emf"/><Relationship Id="rId9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2</xdr:row>
          <xdr:rowOff>123825</xdr:rowOff>
        </xdr:from>
        <xdr:to>
          <xdr:col>15</xdr:col>
          <xdr:colOff>1019175</xdr:colOff>
          <xdr:row>2</xdr:row>
          <xdr:rowOff>390525</xdr:rowOff>
        </xdr:to>
        <xdr:sp macro="" textlink="">
          <xdr:nvSpPr>
            <xdr:cNvPr id="1025" name="obWeergaveUitslagen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2</xdr:row>
          <xdr:rowOff>476250</xdr:rowOff>
        </xdr:from>
        <xdr:to>
          <xdr:col>15</xdr:col>
          <xdr:colOff>1028700</xdr:colOff>
          <xdr:row>2</xdr:row>
          <xdr:rowOff>733425</xdr:rowOff>
        </xdr:to>
        <xdr:sp macro="" textlink="">
          <xdr:nvSpPr>
            <xdr:cNvPr id="1026" name="obWeergaveSpeeldage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95250</xdr:colOff>
          <xdr:row>2</xdr:row>
          <xdr:rowOff>819150</xdr:rowOff>
        </xdr:from>
        <xdr:to>
          <xdr:col>15</xdr:col>
          <xdr:colOff>1019175</xdr:colOff>
          <xdr:row>3</xdr:row>
          <xdr:rowOff>104775</xdr:rowOff>
        </xdr:to>
        <xdr:sp macro="" textlink="">
          <xdr:nvSpPr>
            <xdr:cNvPr id="1027" name="obWeergaveDatums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30</xdr:row>
          <xdr:rowOff>9525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37" name="Toonspeeldag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</xdr:row>
          <xdr:rowOff>152400</xdr:rowOff>
        </xdr:from>
        <xdr:to>
          <xdr:col>10</xdr:col>
          <xdr:colOff>228600</xdr:colOff>
          <xdr:row>2</xdr:row>
          <xdr:rowOff>419100</xdr:rowOff>
        </xdr:to>
        <xdr:sp macro="" textlink="">
          <xdr:nvSpPr>
            <xdr:cNvPr id="1028" name="obStandAlles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</xdr:row>
          <xdr:rowOff>400050</xdr:rowOff>
        </xdr:from>
        <xdr:to>
          <xdr:col>10</xdr:col>
          <xdr:colOff>228600</xdr:colOff>
          <xdr:row>2</xdr:row>
          <xdr:rowOff>638175</xdr:rowOff>
        </xdr:to>
        <xdr:sp macro="" textlink="">
          <xdr:nvSpPr>
            <xdr:cNvPr id="1029" name="obStandHeen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47625</xdr:colOff>
          <xdr:row>2</xdr:row>
          <xdr:rowOff>590550</xdr:rowOff>
        </xdr:from>
        <xdr:to>
          <xdr:col>10</xdr:col>
          <xdr:colOff>228600</xdr:colOff>
          <xdr:row>2</xdr:row>
          <xdr:rowOff>895350</xdr:rowOff>
        </xdr:to>
        <xdr:sp macro="" textlink="">
          <xdr:nvSpPr>
            <xdr:cNvPr id="1030" name="obStandTerug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2</xdr:row>
          <xdr:rowOff>428625</xdr:rowOff>
        </xdr:from>
        <xdr:to>
          <xdr:col>12</xdr:col>
          <xdr:colOff>295275</xdr:colOff>
          <xdr:row>2</xdr:row>
          <xdr:rowOff>647700</xdr:rowOff>
        </xdr:to>
        <xdr:sp macro="" textlink="">
          <xdr:nvSpPr>
            <xdr:cNvPr id="1031" name="obStandThuis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2</xdr:row>
          <xdr:rowOff>628650</xdr:rowOff>
        </xdr:from>
        <xdr:to>
          <xdr:col>12</xdr:col>
          <xdr:colOff>295275</xdr:colOff>
          <xdr:row>2</xdr:row>
          <xdr:rowOff>885825</xdr:rowOff>
        </xdr:to>
        <xdr:sp macro="" textlink="">
          <xdr:nvSpPr>
            <xdr:cNvPr id="1032" name="obStandUit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23</xdr:col>
          <xdr:colOff>180975</xdr:colOff>
          <xdr:row>25</xdr:row>
          <xdr:rowOff>123825</xdr:rowOff>
        </xdr:from>
        <xdr:to>
          <xdr:col>27</xdr:col>
          <xdr:colOff>161925</xdr:colOff>
          <xdr:row>27</xdr:row>
          <xdr:rowOff>123825</xdr:rowOff>
        </xdr:to>
        <xdr:sp macro="" textlink="">
          <xdr:nvSpPr>
            <xdr:cNvPr id="1039" name="toggleKleur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25</xdr:col>
          <xdr:colOff>304800</xdr:colOff>
          <xdr:row>22</xdr:row>
          <xdr:rowOff>85725</xdr:rowOff>
        </xdr:from>
        <xdr:to>
          <xdr:col>29</xdr:col>
          <xdr:colOff>276225</xdr:colOff>
          <xdr:row>24</xdr:row>
          <xdr:rowOff>152400</xdr:rowOff>
        </xdr:to>
        <xdr:sp macro="" textlink="">
          <xdr:nvSpPr>
            <xdr:cNvPr id="1040" name="CommandButton1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142875</xdr:colOff>
          <xdr:row>22</xdr:row>
          <xdr:rowOff>95250</xdr:rowOff>
        </xdr:from>
        <xdr:to>
          <xdr:col>25</xdr:col>
          <xdr:colOff>114300</xdr:colOff>
          <xdr:row>24</xdr:row>
          <xdr:rowOff>161925</xdr:rowOff>
        </xdr:to>
        <xdr:sp macro="" textlink="">
          <xdr:nvSpPr>
            <xdr:cNvPr id="1041" name="CommandButton2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276225</xdr:rowOff>
        </xdr:from>
        <xdr:to>
          <xdr:col>5</xdr:col>
          <xdr:colOff>990600</xdr:colOff>
          <xdr:row>0</xdr:row>
          <xdr:rowOff>609600</xdr:rowOff>
        </xdr:to>
        <xdr:sp macro="" textlink="">
          <xdr:nvSpPr>
            <xdr:cNvPr id="2049" name="GenereerKalend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bl_Spelers" displayName="tbl_Spelers" ref="A1:C19" totalsRowShown="0">
  <autoFilter ref="A1:C19"/>
  <sortState ref="A2:B18">
    <sortCondition ref="A4"/>
  </sortState>
  <tableColumns count="3">
    <tableColumn id="1" name="Naam" dataDxfId="2"/>
    <tableColumn id="2" name="Goals" dataDxfId="1"/>
    <tableColumn id="3" name="Rang" dataDxfId="0">
      <calculatedColumnFormula>RANK(tbl_Spelers[[#This Row],[Goals]],tbl_Spelers[Goals])+ROW()/10^4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3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3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DJ54"/>
  <sheetViews>
    <sheetView showGridLines="0" showRowColHeaders="0" tabSelected="1" topLeftCell="B2" workbookViewId="0">
      <selection activeCell="D2" sqref="D2"/>
    </sheetView>
  </sheetViews>
  <sheetFormatPr defaultRowHeight="15" x14ac:dyDescent="0.3"/>
  <cols>
    <col min="1" max="1" width="0" style="6" hidden="1" customWidth="1"/>
    <col min="2" max="2" width="4" style="6" customWidth="1"/>
    <col min="3" max="3" width="3.28515625" style="6" bestFit="1" customWidth="1"/>
    <col min="4" max="4" width="19.140625" style="6" bestFit="1" customWidth="1"/>
    <col min="5" max="5" width="7.7109375" style="6" customWidth="1"/>
    <col min="6" max="6" width="4.85546875" style="6" customWidth="1"/>
    <col min="7" max="7" width="3.28515625" style="6" customWidth="1"/>
    <col min="8" max="8" width="5.85546875" style="6" customWidth="1"/>
    <col min="9" max="9" width="3.5703125" style="6" customWidth="1"/>
    <col min="10" max="10" width="6.5703125" style="6" customWidth="1"/>
    <col min="11" max="11" width="4.140625" style="6" bestFit="1" customWidth="1"/>
    <col min="12" max="12" width="4" style="6" bestFit="1" customWidth="1"/>
    <col min="13" max="13" width="5" style="6" bestFit="1" customWidth="1"/>
    <col min="14" max="14" width="4.7109375" style="6" bestFit="1" customWidth="1"/>
    <col min="15" max="15" width="3.7109375" style="6" customWidth="1"/>
    <col min="16" max="16" width="19.140625" style="6" bestFit="1" customWidth="1"/>
    <col min="17" max="32" width="5.85546875" style="6" customWidth="1"/>
    <col min="33" max="59" width="5.85546875" style="6" hidden="1" customWidth="1"/>
    <col min="60" max="60" width="6" style="6" hidden="1" customWidth="1"/>
    <col min="61" max="64" width="5.85546875" style="6" hidden="1" customWidth="1"/>
    <col min="65" max="65" width="3.28515625" style="6" hidden="1" customWidth="1"/>
    <col min="66" max="66" width="11.28515625" style="6" hidden="1" customWidth="1"/>
    <col min="67" max="67" width="17" style="6" hidden="1" customWidth="1"/>
    <col min="68" max="71" width="3" style="6" hidden="1" customWidth="1"/>
    <col min="72" max="72" width="2" style="6" hidden="1" customWidth="1"/>
    <col min="73" max="75" width="4" style="6" hidden="1" customWidth="1"/>
    <col min="76" max="76" width="2" style="6" hidden="1" customWidth="1"/>
    <col min="77" max="77" width="3" style="6" hidden="1" customWidth="1"/>
    <col min="78" max="78" width="10.140625" style="6" hidden="1" customWidth="1"/>
    <col min="79" max="79" width="7.85546875" style="6" hidden="1" customWidth="1"/>
    <col min="80" max="80" width="2.85546875" style="6" hidden="1" customWidth="1"/>
    <col min="81" max="113" width="2" style="6" hidden="1" customWidth="1"/>
    <col min="114" max="114" width="9.140625" style="6" hidden="1" customWidth="1"/>
    <col min="115" max="16384" width="9.140625" style="6"/>
  </cols>
  <sheetData>
    <row r="1" spans="1:113" hidden="1" x14ac:dyDescent="0.3">
      <c r="A1" s="4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13" ht="15.75" thickBot="1" x14ac:dyDescent="0.35">
      <c r="A2" s="46"/>
      <c r="B2" s="1"/>
      <c r="C2" s="2" t="s">
        <v>0</v>
      </c>
      <c r="D2" s="3">
        <v>42078.900856481479</v>
      </c>
      <c r="E2" s="1"/>
      <c r="F2" s="4" t="s">
        <v>99</v>
      </c>
      <c r="G2" s="1"/>
      <c r="H2" s="1"/>
      <c r="I2" s="1"/>
      <c r="J2" s="1"/>
      <c r="K2" s="1"/>
      <c r="L2" s="1"/>
      <c r="M2" s="1"/>
      <c r="N2" s="8"/>
      <c r="O2" s="9"/>
      <c r="P2" s="5"/>
    </row>
    <row r="3" spans="1:113" ht="84" customHeight="1" thickBot="1" x14ac:dyDescent="0.35">
      <c r="A3" s="46"/>
      <c r="C3" s="217" t="s">
        <v>35</v>
      </c>
      <c r="D3" s="217"/>
      <c r="E3" s="217"/>
      <c r="F3" s="217"/>
      <c r="G3" s="217"/>
      <c r="H3" s="217"/>
      <c r="I3" s="86"/>
      <c r="J3" s="87"/>
      <c r="K3" s="87"/>
      <c r="L3" s="87"/>
      <c r="M3" s="88"/>
      <c r="P3" s="219"/>
      <c r="Q3" s="213" t="str">
        <f>P5</f>
        <v>Anderlecht</v>
      </c>
      <c r="R3" s="209" t="str">
        <f>P6</f>
        <v>Cercle Brugge</v>
      </c>
      <c r="S3" s="209" t="str">
        <f>P7</f>
        <v>Charleroi</v>
      </c>
      <c r="T3" s="209" t="str">
        <f>P8</f>
        <v>Club Brugge</v>
      </c>
      <c r="U3" s="209" t="str">
        <f>P9</f>
        <v>Genk</v>
      </c>
      <c r="V3" s="209" t="str">
        <f>P10</f>
        <v>Gent</v>
      </c>
      <c r="W3" s="209" t="str">
        <f>P11</f>
        <v>Kortrijk</v>
      </c>
      <c r="X3" s="209" t="str">
        <f>P12</f>
        <v>KV Mechelen</v>
      </c>
      <c r="Y3" s="215" t="str">
        <f>P13</f>
        <v>Lierse</v>
      </c>
      <c r="Z3" s="209" t="str">
        <f>P14</f>
        <v>Lokeren</v>
      </c>
      <c r="AA3" s="209" t="str">
        <f>P15</f>
        <v>Moeskroen-Peruwelz</v>
      </c>
      <c r="AB3" s="209" t="str">
        <f>P16</f>
        <v>Oostende</v>
      </c>
      <c r="AC3" s="209" t="str">
        <f>P17</f>
        <v>Standard</v>
      </c>
      <c r="AD3" s="209" t="str">
        <f>P18</f>
        <v>Waasland-Beveren</v>
      </c>
      <c r="AE3" s="209" t="str">
        <f>P19</f>
        <v>Westerlo</v>
      </c>
      <c r="AF3" s="211" t="str">
        <f>P20</f>
        <v>Zulte-Waregem</v>
      </c>
      <c r="AG3" s="213" t="str">
        <f>P5</f>
        <v>Anderlecht</v>
      </c>
      <c r="AH3" s="209" t="str">
        <f>P6</f>
        <v>Cercle Brugge</v>
      </c>
      <c r="AI3" s="209" t="str">
        <f>P7</f>
        <v>Charleroi</v>
      </c>
      <c r="AJ3" s="209" t="str">
        <f>P8</f>
        <v>Club Brugge</v>
      </c>
      <c r="AK3" s="209" t="str">
        <f>P9</f>
        <v>Genk</v>
      </c>
      <c r="AL3" s="209" t="str">
        <f>P10</f>
        <v>Gent</v>
      </c>
      <c r="AM3" s="209" t="str">
        <f>P11</f>
        <v>Kortrijk</v>
      </c>
      <c r="AN3" s="209" t="str">
        <f>P12</f>
        <v>KV Mechelen</v>
      </c>
      <c r="AO3" s="215" t="str">
        <f>P13</f>
        <v>Lierse</v>
      </c>
      <c r="AP3" s="209" t="str">
        <f>P14</f>
        <v>Lokeren</v>
      </c>
      <c r="AQ3" s="209" t="str">
        <f>P15</f>
        <v>Moeskroen-Peruwelz</v>
      </c>
      <c r="AR3" s="209" t="str">
        <f>P16</f>
        <v>Oostende</v>
      </c>
      <c r="AS3" s="209" t="str">
        <f>P17</f>
        <v>Standard</v>
      </c>
      <c r="AT3" s="209" t="str">
        <f>P18</f>
        <v>Waasland-Beveren</v>
      </c>
      <c r="AU3" s="209" t="str">
        <f>P19</f>
        <v>Westerlo</v>
      </c>
      <c r="AV3" s="211" t="str">
        <f>P20</f>
        <v>Zulte-Waregem</v>
      </c>
      <c r="AW3" s="213" t="str">
        <f>P5</f>
        <v>Anderlecht</v>
      </c>
      <c r="AX3" s="209" t="str">
        <f>P6</f>
        <v>Cercle Brugge</v>
      </c>
      <c r="AY3" s="209" t="str">
        <f>P7</f>
        <v>Charleroi</v>
      </c>
      <c r="AZ3" s="209" t="str">
        <f>P8</f>
        <v>Club Brugge</v>
      </c>
      <c r="BA3" s="209" t="str">
        <f>P9</f>
        <v>Genk</v>
      </c>
      <c r="BB3" s="209" t="str">
        <f>P10</f>
        <v>Gent</v>
      </c>
      <c r="BC3" s="209" t="str">
        <f>P11</f>
        <v>Kortrijk</v>
      </c>
      <c r="BD3" s="209" t="str">
        <f>P12</f>
        <v>KV Mechelen</v>
      </c>
      <c r="BE3" s="215" t="str">
        <f>P13</f>
        <v>Lierse</v>
      </c>
      <c r="BF3" s="209" t="str">
        <f>P14</f>
        <v>Lokeren</v>
      </c>
      <c r="BG3" s="209" t="str">
        <f>P15</f>
        <v>Moeskroen-Peruwelz</v>
      </c>
      <c r="BH3" s="209" t="str">
        <f>P16</f>
        <v>Oostende</v>
      </c>
      <c r="BI3" s="209" t="str">
        <f>P17</f>
        <v>Standard</v>
      </c>
      <c r="BJ3" s="209" t="str">
        <f>P18</f>
        <v>Waasland-Beveren</v>
      </c>
      <c r="BK3" s="209" t="str">
        <f>P19</f>
        <v>Westerlo</v>
      </c>
      <c r="BL3" s="211" t="str">
        <f>P20</f>
        <v>Zulte-Waregem</v>
      </c>
    </row>
    <row r="4" spans="1:113" ht="17.25" thickBot="1" x14ac:dyDescent="0.35">
      <c r="A4" s="46"/>
      <c r="D4" s="167" t="s">
        <v>54</v>
      </c>
      <c r="E4" s="61" t="s">
        <v>1</v>
      </c>
      <c r="F4" s="218" t="s">
        <v>2</v>
      </c>
      <c r="G4" s="218"/>
      <c r="H4" s="61" t="s">
        <v>3</v>
      </c>
      <c r="I4" s="61" t="s">
        <v>4</v>
      </c>
      <c r="J4" s="61" t="s">
        <v>5</v>
      </c>
      <c r="K4" s="62" t="s">
        <v>6</v>
      </c>
      <c r="L4" s="62" t="s">
        <v>7</v>
      </c>
      <c r="M4" s="61" t="s">
        <v>8</v>
      </c>
      <c r="N4" s="61" t="s">
        <v>9</v>
      </c>
      <c r="P4" s="220"/>
      <c r="Q4" s="214"/>
      <c r="R4" s="210"/>
      <c r="S4" s="210"/>
      <c r="T4" s="210"/>
      <c r="U4" s="210"/>
      <c r="V4" s="210"/>
      <c r="W4" s="210"/>
      <c r="X4" s="210"/>
      <c r="Y4" s="216"/>
      <c r="Z4" s="210"/>
      <c r="AA4" s="210"/>
      <c r="AB4" s="210"/>
      <c r="AC4" s="210"/>
      <c r="AD4" s="210"/>
      <c r="AE4" s="210"/>
      <c r="AF4" s="212"/>
      <c r="AG4" s="214"/>
      <c r="AH4" s="210"/>
      <c r="AI4" s="210"/>
      <c r="AJ4" s="210"/>
      <c r="AK4" s="210"/>
      <c r="AL4" s="210"/>
      <c r="AM4" s="210"/>
      <c r="AN4" s="210"/>
      <c r="AO4" s="216"/>
      <c r="AP4" s="210"/>
      <c r="AQ4" s="210"/>
      <c r="AR4" s="210"/>
      <c r="AS4" s="210"/>
      <c r="AT4" s="210"/>
      <c r="AU4" s="210"/>
      <c r="AV4" s="212"/>
      <c r="AW4" s="214"/>
      <c r="AX4" s="210"/>
      <c r="AY4" s="210"/>
      <c r="AZ4" s="210"/>
      <c r="BA4" s="210"/>
      <c r="BB4" s="210"/>
      <c r="BC4" s="210"/>
      <c r="BD4" s="210"/>
      <c r="BE4" s="216"/>
      <c r="BF4" s="210"/>
      <c r="BG4" s="210"/>
      <c r="BH4" s="210"/>
      <c r="BI4" s="210"/>
      <c r="BJ4" s="210"/>
      <c r="BK4" s="210"/>
      <c r="BL4" s="212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</row>
    <row r="5" spans="1:113" ht="15" customHeight="1" x14ac:dyDescent="0.3">
      <c r="A5" s="46"/>
      <c r="C5" s="39">
        <v>1</v>
      </c>
      <c r="D5" s="58" t="str">
        <f t="shared" ref="D5:D20" si="0">VLOOKUP(BZ5,HulpberekeningenStand,2,FALSE)</f>
        <v>Club Brugge</v>
      </c>
      <c r="E5" s="105">
        <f t="shared" ref="E5:E20" si="1">3*H5+J5</f>
        <v>61</v>
      </c>
      <c r="F5" s="59">
        <f t="shared" ref="F5:F20" si="2">SUM(H5:J5)</f>
        <v>30</v>
      </c>
      <c r="G5" s="59" t="str">
        <f>REPT(IF(F5-MODE(F5:F20)&lt;0,"-","+"),ABS(F5-MODE(F5:F20)))</f>
        <v/>
      </c>
      <c r="H5" s="59">
        <f t="shared" ref="H5:H20" si="3">VLOOKUP(BZ5,HulpberekeningenStand,5,FALSE)</f>
        <v>17</v>
      </c>
      <c r="I5" s="59">
        <f t="shared" ref="I5:I20" si="4">VLOOKUP(BZ5,HulpberekeningenStand,6,FALSE)</f>
        <v>3</v>
      </c>
      <c r="J5" s="59">
        <f t="shared" ref="J5:J20" si="5">VLOOKUP(BZ5,HulpberekeningenStand,7,FALSE)</f>
        <v>10</v>
      </c>
      <c r="K5" s="59">
        <f t="shared" ref="K5:K20" si="6">VLOOKUP(BZ5,HulpberekeningenStand,8,FALSE)</f>
        <v>69</v>
      </c>
      <c r="L5" s="59">
        <f t="shared" ref="L5:L20" si="7">VLOOKUP(BZ5,HulpberekeningenStand,9,FALSE)</f>
        <v>28</v>
      </c>
      <c r="M5" s="60">
        <f t="shared" ref="M5:M20" si="8">K5-L5</f>
        <v>41</v>
      </c>
      <c r="N5" s="59">
        <f t="shared" ref="N5:N20" si="9">3*F5-E5</f>
        <v>29</v>
      </c>
      <c r="P5" s="11" t="s">
        <v>40</v>
      </c>
      <c r="Q5" s="34"/>
      <c r="R5" s="89" t="s">
        <v>110</v>
      </c>
      <c r="S5" s="89" t="s">
        <v>52</v>
      </c>
      <c r="T5" s="89" t="s">
        <v>107</v>
      </c>
      <c r="U5" s="89" t="s">
        <v>51</v>
      </c>
      <c r="V5" s="89" t="s">
        <v>108</v>
      </c>
      <c r="W5" s="89" t="s">
        <v>53</v>
      </c>
      <c r="X5" s="89" t="s">
        <v>50</v>
      </c>
      <c r="Y5" s="165" t="s">
        <v>86</v>
      </c>
      <c r="Z5" s="89" t="s">
        <v>50</v>
      </c>
      <c r="AA5" s="89" t="s">
        <v>90</v>
      </c>
      <c r="AB5" s="89" t="s">
        <v>86</v>
      </c>
      <c r="AC5" s="89" t="s">
        <v>85</v>
      </c>
      <c r="AD5" s="89" t="s">
        <v>52</v>
      </c>
      <c r="AE5" s="90" t="s">
        <v>111</v>
      </c>
      <c r="AF5" s="91" t="s">
        <v>51</v>
      </c>
      <c r="AG5" s="55"/>
      <c r="AH5" s="97">
        <v>8</v>
      </c>
      <c r="AI5" s="97">
        <v>3</v>
      </c>
      <c r="AJ5" s="97">
        <v>17</v>
      </c>
      <c r="AK5" s="97">
        <v>10</v>
      </c>
      <c r="AL5" s="97">
        <v>30</v>
      </c>
      <c r="AM5" s="97">
        <v>28</v>
      </c>
      <c r="AN5" s="97">
        <v>26</v>
      </c>
      <c r="AO5" s="152">
        <v>22</v>
      </c>
      <c r="AP5" s="97">
        <v>14</v>
      </c>
      <c r="AQ5" s="97">
        <v>1</v>
      </c>
      <c r="AR5" s="97">
        <v>19</v>
      </c>
      <c r="AS5" s="97">
        <v>12</v>
      </c>
      <c r="AT5" s="97">
        <v>5</v>
      </c>
      <c r="AU5" s="97">
        <v>21</v>
      </c>
      <c r="AV5" s="98">
        <v>24</v>
      </c>
      <c r="AW5" s="15"/>
      <c r="AX5" s="99">
        <v>41902</v>
      </c>
      <c r="AY5" s="99">
        <v>41861</v>
      </c>
      <c r="AZ5" s="99">
        <v>41972</v>
      </c>
      <c r="BA5" s="99">
        <v>41917</v>
      </c>
      <c r="BB5" s="99">
        <v>42077</v>
      </c>
      <c r="BC5" s="99">
        <v>42064</v>
      </c>
      <c r="BD5" s="99">
        <v>42050</v>
      </c>
      <c r="BE5" s="158">
        <v>42022</v>
      </c>
      <c r="BF5" s="99">
        <v>41944</v>
      </c>
      <c r="BG5" s="99">
        <v>41847</v>
      </c>
      <c r="BH5" s="99">
        <v>41987</v>
      </c>
      <c r="BI5" s="99">
        <v>41938</v>
      </c>
      <c r="BJ5" s="99">
        <v>41875</v>
      </c>
      <c r="BK5" s="100">
        <v>41999</v>
      </c>
      <c r="BL5" s="101">
        <v>42035</v>
      </c>
      <c r="BN5" s="194">
        <f>RANK(BP5,$BP$5:$BP$20,0)+RANK(BR5,$BR$5:$BR$20,0)/10^2+RANK(BQ5,$BQ$5:$BQ$20,1)/10^4+RANK(BW5,$BW$5:$BW$20,0)/10^6+BY5/10^8</f>
        <v>2.0201030100000001</v>
      </c>
      <c r="BO5" s="18" t="str">
        <f t="shared" ref="BO5:BO20" si="10">P5</f>
        <v>Anderlecht</v>
      </c>
      <c r="BP5" s="19">
        <f t="shared" ref="BP5:BP20" si="11">3*BR5+BT5</f>
        <v>57</v>
      </c>
      <c r="BQ5" s="19">
        <f t="shared" ref="BQ5:BQ20" si="12">SUM(BR5:BT5)</f>
        <v>30</v>
      </c>
      <c r="BR5" s="19">
        <f>CHOOSE(StandBer,COUNTIF(CC39:CR39,"t")+COUNTIF(CC39:CC54,"u")+COUNTIF(CT39:DI39,"t")+COUNTIF(CT39:CT54,"u"),COUNTIF(CC39:CR39,"t")+COUNTIF(CC39:CC54,"u"),COUNTIF(CT39:DI39,"t")+COUNTIF(CT39:CT54,"u"),COUNTIF(CC39:CR39,"t")+COUNTIF(CT39:DI39,"t"),COUNTIF(CC39:CC54,"u")+COUNTIF(CT39:CT54,"u"))</f>
        <v>16</v>
      </c>
      <c r="BS5" s="19">
        <f>CHOOSE(StandBer,COUNTIF(CC39:CR39,"u")+COUNTIF(CC39:CC54,"t")+COUNTIF(CT39:DI39,"u")+COUNTIF(CT39:CT54,"t"),COUNTIF(CC39:CR39,"u")+COUNTIF(CC39:CC54,"t"),COUNTIF(CT39:DI39,"u")+COUNTIF(CT39:CT54,"t"),COUNTIF(CC39:CR39,"u")+COUNTIF(CT39:DI39,"u"),COUNTIF(CC39:CC54,"t")+COUNTIF(CT39:CT54,"t"))+BX5</f>
        <v>5</v>
      </c>
      <c r="BT5" s="19">
        <f>CHOOSE(StandBer,COUNTIF(CC39:CR39,"g")+COUNTIF(CC39:CC54,"g")+COUNTIF(CT39:DI39,"g")+COUNTIF(CT39:CT54,"g"),COUNTIF(CC39:CR39,"g")+COUNTIF(CC39:CC54,"g"),COUNTIF(CT39:DI39,"g")+COUNTIF(CT39:CT54,"g"),COUNTIF(CC39:CR39,"g")+COUNTIF(CT39:DI39,"g"),COUNTIF(CC39:CC54,"g")+COUNTIF(CT39:CT54,"g"))</f>
        <v>9</v>
      </c>
      <c r="BU5" s="19">
        <f>CHOOSE(StandBer,SUM(CC5:CR5)+SUM(CC22:CC37)+SUM(CT5:DI5)+SUM(CT22:CT37),SUM(CC5:CR5)+SUM(CC22:CC37),SUM(CT5:DI5)+SUM(CT22:CT37),SUM(CC5:CR5)+SUM(CT5:DI5),SUM(CC22:CC37)+SUM(CT22:CT37))-5*BX5</f>
        <v>52</v>
      </c>
      <c r="BV5" s="19">
        <f>CHOOSE(StandBer,SUM(CC5:CC20)+SUM(CC22:CR22)+SUM(CT5:CT20)+SUM(CT22:DI22),SUM(CC5:CC20)+SUM(CC22:CR22),SUM(CT5:CT20)+SUM(CT22:DI22),SUM(CC5:CC20)+SUM(CT5:CT20),SUM(CC22:CR22)+SUM(CT22:DI22))</f>
        <v>30</v>
      </c>
      <c r="BW5" s="19">
        <f t="shared" ref="BW5:BW20" si="13">BU5-BV5</f>
        <v>22</v>
      </c>
      <c r="BX5" s="19">
        <f>CHOOSE(StandBer,COUNTIF(CC39:CR39,"ff")+COUNTIF(CC39:CC54,"ff")+COUNTIF(CT39:DI39,"ff")+COUNTIF(CT39:CT54,"ff"),COUNTIF(CC39:CR39,"ff")+COUNTIF(CC39:CC54,"ff"),COUNTIF(CT39:DI39,"ff")+COUNTIF(CT39:CT54,"ff"),COUNTIF(CC39:CR39,"ff")+COUNTIF(CT39:DI39,"ff"),COUNTIF(CC39:CC54,"ff")+COUNTIF(CT39:CT54,"ff"))</f>
        <v>0</v>
      </c>
      <c r="BY5" s="19">
        <v>1</v>
      </c>
      <c r="BZ5" s="194">
        <f>SMALL(BN5:BN20,1)</f>
        <v>1.0101010399999999</v>
      </c>
      <c r="CB5" s="13"/>
      <c r="CC5" s="65"/>
      <c r="CD5" s="66">
        <f t="shared" ref="CD5:CD20" si="14">IF(OR(ISERROR(FIND("-",R5)),AH5&gt;15),"",IF(LEFT(R5)="*",5,MID(R5,1,FIND("-",R5)-1)-0))</f>
        <v>3</v>
      </c>
      <c r="CE5" s="21">
        <f t="shared" ref="CE5:CE20" si="15">IF(OR(ISERROR(FIND("-",S5)),AI5&gt;15),"",IF(LEFT(S5)="*",5,MID(S5,1,FIND("-",S5)-1)-0))</f>
        <v>1</v>
      </c>
      <c r="CF5" s="21" t="str">
        <f t="shared" ref="CF5:CF20" si="16">IF(OR(ISERROR(FIND("-",T5)),AJ5&gt;15),"",IF(LEFT(T5)="*",5,MID(T5,1,FIND("-",T5)-1)-0))</f>
        <v/>
      </c>
      <c r="CG5" s="21">
        <f t="shared" ref="CG5:CG20" si="17">IF(OR(ISERROR(FIND("-",U5)),AK5&gt;15),"",IF(LEFT(U5)="*",5,MID(U5,1,FIND("-",U5)-1)-0))</f>
        <v>0</v>
      </c>
      <c r="CH5" s="21" t="str">
        <f t="shared" ref="CH5:CH20" si="18">IF(OR(ISERROR(FIND("-",V5)),AL5&gt;15),"",IF(LEFT(V5)="*",5,MID(V5,1,FIND("-",V5)-1)-0))</f>
        <v/>
      </c>
      <c r="CI5" s="21" t="str">
        <f t="shared" ref="CI5:CI20" si="19">IF(OR(ISERROR(FIND("-",W5)),AM5&gt;15),"",IF(LEFT(W5)="*",5,MID(W5,1,FIND("-",W5)-1)-0))</f>
        <v/>
      </c>
      <c r="CJ5" s="21" t="str">
        <f t="shared" ref="CJ5:CJ20" si="20">IF(OR(ISERROR(FIND("-",X5)),AN5&gt;15),"",IF(LEFT(X5)="*",5,MID(X5,1,FIND("-",X5)-1)-0))</f>
        <v/>
      </c>
      <c r="CK5" s="21" t="str">
        <f t="shared" ref="CK5:CK20" si="21">IF(OR(ISERROR(FIND("-",Y5)),AO5&gt;15),"",IF(LEFT(Y5)="*",5,MID(Y5,1,FIND("-",Y5)-1)-0))</f>
        <v/>
      </c>
      <c r="CL5" s="21">
        <f t="shared" ref="CL5:CL20" si="22">IF(OR(ISERROR(FIND("-",Z5)),AP5&gt;15),"",IF(LEFT(Z5)="*",5,MID(Z5,1,FIND("-",Z5)-1)-0))</f>
        <v>1</v>
      </c>
      <c r="CM5" s="21">
        <f t="shared" ref="CM5:CM20" si="23">IF(OR(ISERROR(FIND("-",AA5)),AQ5&gt;15),"",IF(LEFT(AA5)="*",5,MID(AA5,1,FIND("-",AA5)-1)-0))</f>
        <v>3</v>
      </c>
      <c r="CN5" s="21" t="str">
        <f t="shared" ref="CN5:CN20" si="24">IF(OR(ISERROR(FIND("-",AB5)),AR5&gt;15),"",IF(LEFT(AB5)="*",5,MID(AB5,1,FIND("-",AB5)-1)-0))</f>
        <v/>
      </c>
      <c r="CO5" s="21">
        <f t="shared" ref="CO5:CO20" si="25">IF(OR(ISERROR(FIND("-",AC5)),AS5&gt;15),"",IF(LEFT(AC5)="*",5,MID(AC5,1,FIND("-",AC5)-1)-0))</f>
        <v>0</v>
      </c>
      <c r="CP5" s="21">
        <f t="shared" ref="CP5:CP20" si="26">IF(OR(ISERROR(FIND("-",AD5)),AT5&gt;15),"",IF(LEFT(AD5)="*",5,MID(AD5,1,FIND("-",AD5)-1)-0))</f>
        <v>1</v>
      </c>
      <c r="CQ5" s="21" t="str">
        <f t="shared" ref="CQ5:CQ20" si="27">IF(OR(ISERROR(FIND("-",AE5)),AU5&gt;15),"",IF(LEFT(AE5)="*",5,MID(AE5,1,FIND("-",AE5)-1)-0))</f>
        <v/>
      </c>
      <c r="CR5" s="22" t="str">
        <f t="shared" ref="CR5:CR19" si="28">IF(OR(ISERROR(FIND("-",AF5)),AV5&gt;15),"",IF(LEFT(AF5)="*",5,MID(AF5,1,FIND("-",AF5)-1)-0))</f>
        <v/>
      </c>
      <c r="CS5" s="19"/>
      <c r="CT5" s="20"/>
      <c r="CU5" s="21" t="str">
        <f t="shared" ref="CU5:CU20" si="29">IF(OR(ISERROR(FIND("-",R5)),AH5&lt;=15),"",IF(LEFT(R5)="*",5,MID(R5,1,FIND("-",R5)-1)-0))</f>
        <v/>
      </c>
      <c r="CV5" s="21" t="str">
        <f t="shared" ref="CV5:CV20" si="30">IF(OR(ISERROR(FIND("-",S5)),AI5&lt;=15),"",IF(LEFT(S5)="*",5,MID(S5,1,FIND("-",S5)-1)-0))</f>
        <v/>
      </c>
      <c r="CW5" s="21">
        <f t="shared" ref="CW5:CW20" si="31">IF(OR(ISERROR(FIND("-",T5)),AJ5&lt;=15),"",IF(LEFT(T5)="*",5,MID(T5,1,FIND("-",T5)-1)-0))</f>
        <v>2</v>
      </c>
      <c r="CX5" s="21" t="str">
        <f t="shared" ref="CX5:CX20" si="32">IF(OR(ISERROR(FIND("-",U5)),AK5&lt;=15),"",IF(LEFT(U5)="*",5,MID(U5,1,FIND("-",U5)-1)-0))</f>
        <v/>
      </c>
      <c r="CY5" s="21">
        <f t="shared" ref="CY5:CY20" si="33">IF(OR(ISERROR(FIND("-",V5)),AL5&lt;=15),"",IF(LEFT(V5)="*",5,MID(V5,1,FIND("-",V5)-1)-0))</f>
        <v>1</v>
      </c>
      <c r="CZ5" s="21">
        <f t="shared" ref="CZ5:CZ20" si="34">IF(OR(ISERROR(FIND("-",W5)),AM5&lt;=15),"",IF(LEFT(W5)="*",5,MID(W5,1,FIND("-",W5)-1)-0))</f>
        <v>2</v>
      </c>
      <c r="DA5" s="21">
        <f t="shared" ref="DA5:DA20" si="35">IF(OR(ISERROR(FIND("-",X5)),AN5&lt;=15),"",IF(LEFT(X5)="*",5,MID(X5,1,FIND("-",X5)-1)-0))</f>
        <v>1</v>
      </c>
      <c r="DB5" s="21">
        <f t="shared" ref="DB5:DB20" si="36">IF(OR(ISERROR(FIND("-",Y5)),AO5&lt;=15),"",IF(LEFT(Y5)="*",5,MID(Y5,1,FIND("-",Y5)-1)-0))</f>
        <v>3</v>
      </c>
      <c r="DC5" s="21" t="str">
        <f t="shared" ref="DC5:DC20" si="37">IF(OR(ISERROR(FIND("-",Z5)),AP5&lt;=15),"",IF(LEFT(Z5)="*",5,MID(Z5,1,FIND("-",Z5)-1)-0))</f>
        <v/>
      </c>
      <c r="DD5" s="21" t="str">
        <f t="shared" ref="DD5:DD20" si="38">IF(OR(ISERROR(FIND("-",AA5)),AQ5&lt;=15),"",IF(LEFT(AA5)="*",5,MID(AA5,1,FIND("-",AA5)-1)-0))</f>
        <v/>
      </c>
      <c r="DE5" s="21">
        <f t="shared" ref="DE5:DE20" si="39">IF(OR(ISERROR(FIND("-",AB5)),AR5&lt;=15),"",IF(LEFT(AB5)="*",5,MID(AB5,1,FIND("-",AB5)-1)-0))</f>
        <v>3</v>
      </c>
      <c r="DF5" s="21" t="str">
        <f t="shared" ref="DF5:DF20" si="40">IF(OR(ISERROR(FIND("-",AC5)),AS5&lt;=15),"",IF(LEFT(AC5)="*",5,MID(AC5,1,FIND("-",AC5)-1)-0))</f>
        <v/>
      </c>
      <c r="DG5" s="21" t="str">
        <f t="shared" ref="DG5:DG20" si="41">IF(OR(ISERROR(FIND("-",AD5)),AT5&lt;=15),"",IF(LEFT(AD5)="*",5,MID(AD5,1,FIND("-",AD5)-1)-0))</f>
        <v/>
      </c>
      <c r="DH5" s="21">
        <f t="shared" ref="DH5:DH20" si="42">IF(OR(ISERROR(FIND("-",AE5)),AU5&lt;=15),"",IF(LEFT(AE5)="*",5,MID(AE5,1,FIND("-",AE5)-1)-0))</f>
        <v>4</v>
      </c>
      <c r="DI5" s="22">
        <f t="shared" ref="DI5:DI19" si="43">IF(OR(ISERROR(FIND("-",AF5)),AV5&lt;=15),"",IF(LEFT(AF5)="*",5,MID(AF5,1,FIND("-",AF5)-1)-0))</f>
        <v>0</v>
      </c>
    </row>
    <row r="6" spans="1:113" ht="15" customHeight="1" x14ac:dyDescent="0.3">
      <c r="A6" s="46"/>
      <c r="C6" s="39">
        <f>IF(RANK(E6,E5:E20,0)&gt;RANK(E5,E5:E20,0),RANK(E6,E5:E20,0),"")</f>
        <v>2</v>
      </c>
      <c r="D6" s="58" t="str">
        <f t="shared" si="0"/>
        <v>Gent</v>
      </c>
      <c r="E6" s="105">
        <f t="shared" si="1"/>
        <v>57</v>
      </c>
      <c r="F6" s="59">
        <f t="shared" si="2"/>
        <v>30</v>
      </c>
      <c r="G6" s="59" t="str">
        <f>REPT(IF(F6-MODE(F5:F20)&lt;0,"-","+"),ABS(F6-MODE(F5:F20)))</f>
        <v/>
      </c>
      <c r="H6" s="59">
        <f t="shared" si="3"/>
        <v>16</v>
      </c>
      <c r="I6" s="59">
        <f t="shared" si="4"/>
        <v>5</v>
      </c>
      <c r="J6" s="59">
        <f t="shared" si="5"/>
        <v>9</v>
      </c>
      <c r="K6" s="59">
        <f t="shared" si="6"/>
        <v>52</v>
      </c>
      <c r="L6" s="59">
        <f t="shared" si="7"/>
        <v>29</v>
      </c>
      <c r="M6" s="60">
        <f t="shared" si="8"/>
        <v>23</v>
      </c>
      <c r="N6" s="59">
        <f t="shared" si="9"/>
        <v>33</v>
      </c>
      <c r="P6" s="11" t="s">
        <v>41</v>
      </c>
      <c r="Q6" s="92" t="s">
        <v>85</v>
      </c>
      <c r="R6" s="35"/>
      <c r="S6" s="49" t="s">
        <v>52</v>
      </c>
      <c r="T6" s="49" t="s">
        <v>135</v>
      </c>
      <c r="U6" s="49" t="s">
        <v>92</v>
      </c>
      <c r="V6" s="49" t="s">
        <v>51</v>
      </c>
      <c r="W6" s="49" t="s">
        <v>125</v>
      </c>
      <c r="X6" s="49" t="s">
        <v>105</v>
      </c>
      <c r="Y6" s="162" t="s">
        <v>108</v>
      </c>
      <c r="Z6" s="49" t="s">
        <v>52</v>
      </c>
      <c r="AA6" s="49" t="s">
        <v>106</v>
      </c>
      <c r="AB6" s="49" t="s">
        <v>92</v>
      </c>
      <c r="AC6" s="49" t="s">
        <v>92</v>
      </c>
      <c r="AD6" s="49" t="s">
        <v>52</v>
      </c>
      <c r="AE6" s="64" t="s">
        <v>108</v>
      </c>
      <c r="AF6" s="107" t="s">
        <v>107</v>
      </c>
      <c r="AG6" s="95">
        <v>25</v>
      </c>
      <c r="AH6" s="56"/>
      <c r="AI6" s="52">
        <v>7</v>
      </c>
      <c r="AJ6" s="52">
        <v>23</v>
      </c>
      <c r="AK6" s="52">
        <v>17</v>
      </c>
      <c r="AL6" s="52">
        <v>1</v>
      </c>
      <c r="AM6" s="52">
        <v>14</v>
      </c>
      <c r="AN6" s="52">
        <v>30</v>
      </c>
      <c r="AO6" s="150">
        <v>11</v>
      </c>
      <c r="AP6" s="52">
        <v>5</v>
      </c>
      <c r="AQ6" s="52">
        <v>19</v>
      </c>
      <c r="AR6" s="52">
        <v>3</v>
      </c>
      <c r="AS6" s="52">
        <v>13</v>
      </c>
      <c r="AT6" s="52">
        <v>21</v>
      </c>
      <c r="AU6" s="52">
        <v>9</v>
      </c>
      <c r="AV6" s="53">
        <v>27</v>
      </c>
      <c r="AW6" s="102">
        <v>42043</v>
      </c>
      <c r="AX6" s="15"/>
      <c r="AY6" s="108">
        <v>41895</v>
      </c>
      <c r="AZ6" s="108">
        <v>42028</v>
      </c>
      <c r="BA6" s="108">
        <v>41972</v>
      </c>
      <c r="BB6" s="108">
        <v>41846</v>
      </c>
      <c r="BC6" s="108">
        <v>41944</v>
      </c>
      <c r="BD6" s="108">
        <v>42077</v>
      </c>
      <c r="BE6" s="155">
        <v>41930</v>
      </c>
      <c r="BF6" s="108">
        <v>41875</v>
      </c>
      <c r="BG6" s="108">
        <v>41986</v>
      </c>
      <c r="BH6" s="108">
        <v>41860</v>
      </c>
      <c r="BI6" s="108">
        <v>41941</v>
      </c>
      <c r="BJ6" s="108">
        <v>42000</v>
      </c>
      <c r="BK6" s="108">
        <v>41909</v>
      </c>
      <c r="BL6" s="110">
        <v>42056</v>
      </c>
      <c r="BN6" s="194">
        <f t="shared" ref="BN6:BN20" si="44">RANK(BP6,$BP$5:$BP$20,0)+RANK(BR6,$BR$5:$BR$20,0)/10^2+RANK(BQ6,$BQ$5:$BQ$20,1)/10^4+RANK(BW6,$BW$5:$BW$20,0)/10^6+BY6/10^8</f>
        <v>15.150115019999999</v>
      </c>
      <c r="BO6" s="18" t="str">
        <f t="shared" si="10"/>
        <v>Cercle Brugge</v>
      </c>
      <c r="BP6" s="19">
        <f t="shared" si="11"/>
        <v>24</v>
      </c>
      <c r="BQ6" s="19">
        <f t="shared" si="12"/>
        <v>30</v>
      </c>
      <c r="BR6" s="19">
        <f>CHOOSE(StandBer,COUNTIF(CC40:CR40,"t")+COUNTIF(CD39:CD54,"u")+COUNTIF(CT40:DI40,"t")+COUNTIF(CU39:CU54,"u"),COUNTIF(CC40:CR40,"t")+COUNTIF(CD39:CD54,"u"),COUNTIF(CT40:DI40,"t")+COUNTIF(CU39:CU54,"u"),COUNTIF(CC40:CR40,"t")+COUNTIF(CT40:DI40,"t"),COUNTIF(CD39:CD54,"u")+COUNTIF(CU39:CU54,"u"))</f>
        <v>6</v>
      </c>
      <c r="BS6" s="19">
        <f>CHOOSE(StandBer,COUNTIF(CC40:CR40,"u")+COUNTIF(CD39:CD54,"t")+COUNTIF(CT40:DI40,"u")+COUNTIF(CU39:CU54,"t"),COUNTIF(CC40:CR40,"u")+COUNTIF(CD39:CD54,"t"),COUNTIF(CT40:DI40,"u")+COUNTIF(CU39:CU54,"t"),COUNTIF(CC40:CR40,"u")+COUNTIF(CT40:DI40,"u"),COUNTIF(CD39:CD54,"t")+COUNTIF(CU39:CU54,"t"))+BX6</f>
        <v>18</v>
      </c>
      <c r="BT6" s="19">
        <f>CHOOSE(StandBer,COUNTIF(CC40:CR40,"g")+COUNTIF(CD39:CD54,"g")+COUNTIF(CT40:DI40,"g")+COUNTIF(CU39:CU54,"g"),COUNTIF(CC40:CR40,"g")+COUNTIF(CD39:CD54,"g"),COUNTIF(CT40:DI40,"g")+COUNTIF(CU39:CU54,"g"),COUNTIF(CC40:CR40,"g")+COUNTIF(CT40:DI40,"g"),COUNTIF(CD39:CD54,"g")+COUNTIF(CU39:CU54,"g"))</f>
        <v>6</v>
      </c>
      <c r="BU6" s="19">
        <f>CHOOSE(StandBer,SUM(CC6:CR6)+SUM(CD22:CD37)+SUM(CT6:DI6)+SUM(CU22:CU37),SUM(CC6:CR6)+SUM(CD22:CD37),SUM(CT6:DI6)+SUM(CU22:CU37),SUM(CC6:CR6)+SUM(CT6:DI6),SUM(CD22:CD37)+SUM(CU22:CU37))-5*BX6</f>
        <v>21</v>
      </c>
      <c r="BV6" s="19">
        <f>CHOOSE(StandBer,SUM(CD5:CD20)+SUM(CC23:CR23)+SUM(CU5:CU20)+SUM(CT23:DI23),SUM(CD5:CD20)+SUM(CC23:CR23),SUM(CU5:CU20)+SUM(CT23:DI23),SUM(CD5:CD20)+SUM(CU5:CU20),SUM(CC23:CR23)+SUM(CT23:DI23))</f>
        <v>45</v>
      </c>
      <c r="BW6" s="19">
        <f t="shared" si="13"/>
        <v>-24</v>
      </c>
      <c r="BX6" s="19">
        <f>CHOOSE(StandBer,COUNTIF(CC40:CR40,"ff")+COUNTIF(CD39:CD54,"ff")+COUNTIF(CT40:DI40,"ff")+COUNTIF(CU39:CU54,"ff"),COUNTIF(CC40:CR40,"ff")+COUNTIF(CD39:CD54,"ff"),COUNTIF(CT40:DI40,"ff")+COUNTIF(CU39:CU54,"ff"),COUNTIF(CC40:CR40,"ff")+COUNTIF(CT40:DI40,"ff"),COUNTIF(CD39:CD54,"ff")+COUNTIF(CU39:CU54,"ff"))</f>
        <v>0</v>
      </c>
      <c r="BY6" s="19">
        <v>2</v>
      </c>
      <c r="BZ6" s="194">
        <f>SMALL(BN5:BN20,2)</f>
        <v>2.0201020600000001</v>
      </c>
      <c r="CA6" s="80"/>
      <c r="CB6" s="13"/>
      <c r="CC6" s="67" t="str">
        <f t="shared" ref="CC6:CC20" si="45">IF(OR(ISERROR(FIND("-",Q6)),AG6&gt;15),"",IF(LEFT(Q6)="*",5,MID(Q6,1,FIND("-",Q6)-1)-0))</f>
        <v/>
      </c>
      <c r="CD6" s="68"/>
      <c r="CE6" s="24">
        <f t="shared" si="15"/>
        <v>1</v>
      </c>
      <c r="CF6" s="24" t="str">
        <f t="shared" si="16"/>
        <v/>
      </c>
      <c r="CG6" s="24" t="str">
        <f t="shared" si="17"/>
        <v/>
      </c>
      <c r="CH6" s="24">
        <f t="shared" si="18"/>
        <v>0</v>
      </c>
      <c r="CI6" s="24">
        <f t="shared" si="19"/>
        <v>0</v>
      </c>
      <c r="CJ6" s="24" t="str">
        <f t="shared" si="20"/>
        <v/>
      </c>
      <c r="CK6" s="24">
        <f t="shared" si="21"/>
        <v>1</v>
      </c>
      <c r="CL6" s="24">
        <f t="shared" si="22"/>
        <v>1</v>
      </c>
      <c r="CM6" s="24" t="str">
        <f t="shared" si="23"/>
        <v/>
      </c>
      <c r="CN6" s="24">
        <f t="shared" si="24"/>
        <v>0</v>
      </c>
      <c r="CO6" s="24">
        <f t="shared" si="25"/>
        <v>0</v>
      </c>
      <c r="CP6" s="24" t="str">
        <f t="shared" si="26"/>
        <v/>
      </c>
      <c r="CQ6" s="24">
        <f t="shared" si="27"/>
        <v>1</v>
      </c>
      <c r="CR6" s="25" t="str">
        <f t="shared" si="28"/>
        <v/>
      </c>
      <c r="CS6" s="19"/>
      <c r="CT6" s="23">
        <f t="shared" ref="CT6:CT20" si="46">IF(OR(ISERROR(FIND("-",Q6)),AG6&lt;=15),"",IF(LEFT(Q6)="*",5,MID(Q6,1,FIND("-",Q6)-1)-0))</f>
        <v>0</v>
      </c>
      <c r="CU6" s="24"/>
      <c r="CV6" s="24" t="str">
        <f t="shared" si="30"/>
        <v/>
      </c>
      <c r="CW6" s="24">
        <f t="shared" si="31"/>
        <v>0</v>
      </c>
      <c r="CX6" s="24">
        <f t="shared" si="32"/>
        <v>0</v>
      </c>
      <c r="CY6" s="24" t="str">
        <f t="shared" si="33"/>
        <v/>
      </c>
      <c r="CZ6" s="24" t="str">
        <f t="shared" si="34"/>
        <v/>
      </c>
      <c r="DA6" s="24">
        <f t="shared" si="35"/>
        <v>2</v>
      </c>
      <c r="DB6" s="24" t="str">
        <f t="shared" si="36"/>
        <v/>
      </c>
      <c r="DC6" s="24" t="str">
        <f t="shared" si="37"/>
        <v/>
      </c>
      <c r="DD6" s="24">
        <f t="shared" si="38"/>
        <v>2</v>
      </c>
      <c r="DE6" s="24" t="str">
        <f t="shared" si="39"/>
        <v/>
      </c>
      <c r="DF6" s="24" t="str">
        <f t="shared" si="40"/>
        <v/>
      </c>
      <c r="DG6" s="24">
        <f t="shared" si="41"/>
        <v>1</v>
      </c>
      <c r="DH6" s="24" t="str">
        <f t="shared" si="42"/>
        <v/>
      </c>
      <c r="DI6" s="25">
        <f t="shared" si="43"/>
        <v>2</v>
      </c>
    </row>
    <row r="7" spans="1:113" ht="15" customHeight="1" x14ac:dyDescent="0.3">
      <c r="A7" s="46"/>
      <c r="C7" s="39" t="str">
        <f>IF(RANK(E7,E5:E20,0)&gt;RANK(E6,E5:E20,0),RANK(E7,E5:E20,0),"")</f>
        <v/>
      </c>
      <c r="D7" s="58" t="str">
        <f t="shared" si="0"/>
        <v>Anderlecht</v>
      </c>
      <c r="E7" s="105">
        <f t="shared" si="1"/>
        <v>57</v>
      </c>
      <c r="F7" s="59">
        <f t="shared" si="2"/>
        <v>30</v>
      </c>
      <c r="G7" s="59" t="str">
        <f>REPT(IF(F7-MODE(F5:F20)&lt;0,"-","+"),ABS(F7-MODE(F5:F20)))</f>
        <v/>
      </c>
      <c r="H7" s="59">
        <f t="shared" si="3"/>
        <v>16</v>
      </c>
      <c r="I7" s="59">
        <f t="shared" si="4"/>
        <v>5</v>
      </c>
      <c r="J7" s="59">
        <f t="shared" si="5"/>
        <v>9</v>
      </c>
      <c r="K7" s="59">
        <f t="shared" si="6"/>
        <v>52</v>
      </c>
      <c r="L7" s="59">
        <f t="shared" si="7"/>
        <v>30</v>
      </c>
      <c r="M7" s="60">
        <f t="shared" si="8"/>
        <v>22</v>
      </c>
      <c r="N7" s="59">
        <f t="shared" si="9"/>
        <v>33</v>
      </c>
      <c r="P7" s="11" t="s">
        <v>78</v>
      </c>
      <c r="Q7" s="92" t="s">
        <v>90</v>
      </c>
      <c r="R7" s="49" t="s">
        <v>85</v>
      </c>
      <c r="S7" s="35"/>
      <c r="T7" s="49" t="s">
        <v>51</v>
      </c>
      <c r="U7" s="49" t="s">
        <v>52</v>
      </c>
      <c r="V7" s="49" t="s">
        <v>51</v>
      </c>
      <c r="W7" s="49" t="s">
        <v>85</v>
      </c>
      <c r="X7" s="49" t="s">
        <v>53</v>
      </c>
      <c r="Y7" s="162" t="s">
        <v>132</v>
      </c>
      <c r="Z7" s="49" t="s">
        <v>52</v>
      </c>
      <c r="AA7" s="49" t="s">
        <v>53</v>
      </c>
      <c r="AB7" s="49" t="s">
        <v>53</v>
      </c>
      <c r="AC7" s="49" t="s">
        <v>92</v>
      </c>
      <c r="AD7" s="49" t="s">
        <v>107</v>
      </c>
      <c r="AE7" s="64" t="s">
        <v>105</v>
      </c>
      <c r="AF7" s="107" t="s">
        <v>106</v>
      </c>
      <c r="AG7" s="95">
        <v>16</v>
      </c>
      <c r="AH7" s="52">
        <v>22</v>
      </c>
      <c r="AI7" s="56"/>
      <c r="AJ7" s="52">
        <v>14</v>
      </c>
      <c r="AK7" s="52">
        <v>24</v>
      </c>
      <c r="AL7" s="52">
        <v>26</v>
      </c>
      <c r="AM7" s="52">
        <v>10</v>
      </c>
      <c r="AN7" s="52">
        <v>6</v>
      </c>
      <c r="AO7" s="150">
        <v>20</v>
      </c>
      <c r="AP7" s="52">
        <v>28</v>
      </c>
      <c r="AQ7" s="52">
        <v>30</v>
      </c>
      <c r="AR7" s="52">
        <v>12</v>
      </c>
      <c r="AS7" s="52">
        <v>18</v>
      </c>
      <c r="AT7" s="52">
        <v>4</v>
      </c>
      <c r="AU7" s="52">
        <v>2</v>
      </c>
      <c r="AV7" s="53">
        <v>8</v>
      </c>
      <c r="AW7" s="102">
        <v>41965</v>
      </c>
      <c r="AX7" s="108">
        <v>42021</v>
      </c>
      <c r="AY7" s="15"/>
      <c r="AZ7" s="108">
        <v>41945</v>
      </c>
      <c r="BA7" s="108">
        <v>42035</v>
      </c>
      <c r="BB7" s="108">
        <v>42050</v>
      </c>
      <c r="BC7" s="108">
        <v>41916</v>
      </c>
      <c r="BD7" s="108">
        <v>41882</v>
      </c>
      <c r="BE7" s="155">
        <v>41993</v>
      </c>
      <c r="BF7" s="108">
        <v>42063</v>
      </c>
      <c r="BG7" s="108">
        <v>42077</v>
      </c>
      <c r="BH7" s="108">
        <v>41937</v>
      </c>
      <c r="BI7" s="108">
        <v>41980</v>
      </c>
      <c r="BJ7" s="108">
        <v>41867</v>
      </c>
      <c r="BK7" s="109">
        <v>41853</v>
      </c>
      <c r="BL7" s="110">
        <v>41901</v>
      </c>
      <c r="BN7" s="194">
        <f t="shared" si="44"/>
        <v>6.060105029999999</v>
      </c>
      <c r="BO7" s="18" t="str">
        <f t="shared" si="10"/>
        <v>Charleroi</v>
      </c>
      <c r="BP7" s="19">
        <f t="shared" si="11"/>
        <v>49</v>
      </c>
      <c r="BQ7" s="19">
        <f t="shared" si="12"/>
        <v>30</v>
      </c>
      <c r="BR7" s="19">
        <f>CHOOSE(StandBer,COUNTIF(CC41:CR41,"t")+COUNTIF(CE39:CE54,"u")+COUNTIF(CT41:DI41,"t")+COUNTIF(CV39:CV54,"u"),COUNTIF(CC41:CR41,"t")+COUNTIF(CE39:CE54,"u"),COUNTIF(CT41:DI41,"t")+COUNTIF(CV39:CV54,"u"),COUNTIF(CC41:CR41,"t")+COUNTIF(CT41:DI41,"t"),COUNTIF(CE39:CE54,"u")+COUNTIF(CV39:CV54,"u"))</f>
        <v>14</v>
      </c>
      <c r="BS7" s="19">
        <f>CHOOSE(StandBer,COUNTIF(CC41:CR41,"u")+COUNTIF(CE39:CE54,"t")+COUNTIF(CT41:DI41,"u")+COUNTIF(CV39:CV54,"t"),COUNTIF(CC41:CR41,"u")+COUNTIF(CE39:CE54,"t"),COUNTIF(CT41:DI41,"u")+COUNTIF(CV39:CV54,"t"),COUNTIF(CC41:CR41,"u")+COUNTIF(CT41:DI41,"u"),COUNTIF(CE39:CE54,"t")+COUNTIF(CV39:CV54,"t"))+BX7</f>
        <v>9</v>
      </c>
      <c r="BT7" s="19">
        <f>CHOOSE(StandBer,COUNTIF(CC41:CR41,"g")+COUNTIF(CE39:CE54,"g")+COUNTIF(CT41:DI41,"g")+COUNTIF(CV39:CV54,"g"),COUNTIF(CC41:CR41,"g")+COUNTIF(CE39:CE54,"g"),COUNTIF(CT41:DI41,"g")+COUNTIF(CV39:CV54,"g"),COUNTIF(CC41:CR41,"g")+COUNTIF(CT41:DI41,"g"),COUNTIF(CE39:CE54,"g")+COUNTIF(CV39:CV54,"g"))</f>
        <v>7</v>
      </c>
      <c r="BU7" s="19">
        <f>CHOOSE(StandBer,SUM(CC7:CR7)+SUM(CE22:CE37)+SUM(CT7:DI7)+SUM(CV22:CV37),SUM(CC7:CR7)+SUM(CE22:CE37),SUM(CT7:DI7)+SUM(CV22:CV37),SUM(CC7:CR7)+SUM(CT7:DI7),SUM(CE22:CE37)+SUM(CV22:CV37))-5*BX7</f>
        <v>44</v>
      </c>
      <c r="BV7" s="19">
        <f>CHOOSE(StandBer,SUM(CE5:CE20)+SUM(CC24:CR24)+SUM(CV5:CV20)+SUM(CT24:DI24),SUM(CE5:CE20)+SUM(CC24:CR24),SUM(CV5:CV20)+SUM(CT24:DI24),SUM(CE5:CE20)+SUM(CV5:CV20),SUM(CC24:CR24)+SUM(CT24:DI24))</f>
        <v>31</v>
      </c>
      <c r="BW7" s="19">
        <f t="shared" si="13"/>
        <v>13</v>
      </c>
      <c r="BX7" s="19">
        <f>CHOOSE(StandBer,COUNTIF(CC41:CR41,"ff")+COUNTIF(CE39:CE54,"ff")+COUNTIF(CT41:DI41,"ff")+COUNTIF(CV39:CV54,"ff"),COUNTIF(CC41:CR41,"ff")+COUNTIF(CE39:CE54,"ff"),COUNTIF(CT41:DI41,"ff")+COUNTIF(CV39:CV54,"ff"),COUNTIF(CC41:CR41,"ff")+COUNTIF(CT41:DI41,"ff"),COUNTIF(CE39:CE54,"ff")+COUNTIF(CV39:CV54,"ff"))</f>
        <v>0</v>
      </c>
      <c r="BY7" s="19">
        <v>3</v>
      </c>
      <c r="BZ7" s="194">
        <f>SMALL(BN5:BN20,3)</f>
        <v>2.0201030100000001</v>
      </c>
      <c r="CB7" s="13"/>
      <c r="CC7" s="23" t="str">
        <f t="shared" si="45"/>
        <v/>
      </c>
      <c r="CD7" s="24" t="str">
        <f t="shared" si="14"/>
        <v/>
      </c>
      <c r="CE7" s="24"/>
      <c r="CF7" s="24">
        <f t="shared" si="16"/>
        <v>0</v>
      </c>
      <c r="CG7" s="24" t="str">
        <f t="shared" si="17"/>
        <v/>
      </c>
      <c r="CH7" s="24" t="str">
        <f t="shared" si="18"/>
        <v/>
      </c>
      <c r="CI7" s="24">
        <f t="shared" si="19"/>
        <v>0</v>
      </c>
      <c r="CJ7" s="24">
        <f t="shared" si="20"/>
        <v>2</v>
      </c>
      <c r="CK7" s="24" t="str">
        <f t="shared" si="21"/>
        <v/>
      </c>
      <c r="CL7" s="24" t="str">
        <f t="shared" si="22"/>
        <v/>
      </c>
      <c r="CM7" s="24" t="str">
        <f t="shared" si="23"/>
        <v/>
      </c>
      <c r="CN7" s="24">
        <f t="shared" si="24"/>
        <v>2</v>
      </c>
      <c r="CO7" s="24" t="str">
        <f t="shared" si="25"/>
        <v/>
      </c>
      <c r="CP7" s="24">
        <f t="shared" si="26"/>
        <v>2</v>
      </c>
      <c r="CQ7" s="24">
        <f t="shared" si="27"/>
        <v>2</v>
      </c>
      <c r="CR7" s="25">
        <f t="shared" si="28"/>
        <v>2</v>
      </c>
      <c r="CS7" s="19"/>
      <c r="CT7" s="23">
        <f t="shared" si="46"/>
        <v>3</v>
      </c>
      <c r="CU7" s="24">
        <f t="shared" si="29"/>
        <v>0</v>
      </c>
      <c r="CV7" s="24"/>
      <c r="CW7" s="24" t="str">
        <f t="shared" si="31"/>
        <v/>
      </c>
      <c r="CX7" s="24">
        <f t="shared" si="32"/>
        <v>1</v>
      </c>
      <c r="CY7" s="24">
        <f t="shared" si="33"/>
        <v>0</v>
      </c>
      <c r="CZ7" s="24" t="str">
        <f t="shared" si="34"/>
        <v/>
      </c>
      <c r="DA7" s="24" t="str">
        <f t="shared" si="35"/>
        <v/>
      </c>
      <c r="DB7" s="24">
        <f t="shared" si="36"/>
        <v>6</v>
      </c>
      <c r="DC7" s="24">
        <f t="shared" si="37"/>
        <v>1</v>
      </c>
      <c r="DD7" s="24">
        <f t="shared" si="38"/>
        <v>2</v>
      </c>
      <c r="DE7" s="24" t="str">
        <f t="shared" si="39"/>
        <v/>
      </c>
      <c r="DF7" s="24">
        <f t="shared" si="40"/>
        <v>0</v>
      </c>
      <c r="DG7" s="24" t="str">
        <f t="shared" si="41"/>
        <v/>
      </c>
      <c r="DH7" s="24" t="str">
        <f t="shared" si="42"/>
        <v/>
      </c>
      <c r="DI7" s="25" t="str">
        <f t="shared" si="43"/>
        <v/>
      </c>
    </row>
    <row r="8" spans="1:113" ht="15" customHeight="1" x14ac:dyDescent="0.3">
      <c r="A8" s="46"/>
      <c r="C8" s="39">
        <f>IF(RANK(E8,E5:E20,0)&gt;RANK(E7,E5:E20,0),RANK(E8,E5:E20,0),"")</f>
        <v>4</v>
      </c>
      <c r="D8" s="58" t="str">
        <f t="shared" si="0"/>
        <v>Standard</v>
      </c>
      <c r="E8" s="105">
        <f t="shared" si="1"/>
        <v>53</v>
      </c>
      <c r="F8" s="59">
        <f t="shared" si="2"/>
        <v>30</v>
      </c>
      <c r="G8" s="59" t="str">
        <f>REPT(IF(F8-MODE(F5:F20)&lt;0,"-","+"),ABS(F8-MODE(F5:F20)))</f>
        <v/>
      </c>
      <c r="H8" s="59">
        <f t="shared" si="3"/>
        <v>16</v>
      </c>
      <c r="I8" s="59">
        <f t="shared" si="4"/>
        <v>9</v>
      </c>
      <c r="J8" s="59">
        <f t="shared" si="5"/>
        <v>5</v>
      </c>
      <c r="K8" s="59">
        <f t="shared" si="6"/>
        <v>49</v>
      </c>
      <c r="L8" s="59">
        <f t="shared" si="7"/>
        <v>39</v>
      </c>
      <c r="M8" s="60">
        <f t="shared" si="8"/>
        <v>10</v>
      </c>
      <c r="N8" s="59">
        <f t="shared" si="9"/>
        <v>37</v>
      </c>
      <c r="P8" s="11" t="s">
        <v>42</v>
      </c>
      <c r="Q8" s="92" t="s">
        <v>107</v>
      </c>
      <c r="R8" s="49" t="s">
        <v>50</v>
      </c>
      <c r="S8" s="49" t="s">
        <v>52</v>
      </c>
      <c r="T8" s="35"/>
      <c r="U8" s="49" t="s">
        <v>124</v>
      </c>
      <c r="V8" s="49" t="s">
        <v>107</v>
      </c>
      <c r="W8" s="49" t="s">
        <v>119</v>
      </c>
      <c r="X8" s="49" t="s">
        <v>50</v>
      </c>
      <c r="Y8" s="162" t="s">
        <v>52</v>
      </c>
      <c r="Z8" s="49" t="s">
        <v>50</v>
      </c>
      <c r="AA8" s="49" t="s">
        <v>86</v>
      </c>
      <c r="AB8" s="49" t="s">
        <v>53</v>
      </c>
      <c r="AC8" s="49" t="s">
        <v>86</v>
      </c>
      <c r="AD8" s="49" t="s">
        <v>126</v>
      </c>
      <c r="AE8" s="64" t="s">
        <v>119</v>
      </c>
      <c r="AF8" s="107" t="s">
        <v>106</v>
      </c>
      <c r="AG8" s="95">
        <v>6</v>
      </c>
      <c r="AH8" s="52">
        <v>4</v>
      </c>
      <c r="AI8" s="52">
        <v>29</v>
      </c>
      <c r="AJ8" s="56"/>
      <c r="AK8" s="52">
        <v>20</v>
      </c>
      <c r="AL8" s="52">
        <v>12</v>
      </c>
      <c r="AM8" s="52">
        <v>8</v>
      </c>
      <c r="AN8" s="52">
        <v>22</v>
      </c>
      <c r="AO8" s="150">
        <v>2</v>
      </c>
      <c r="AP8" s="52">
        <v>26</v>
      </c>
      <c r="AQ8" s="52">
        <v>28</v>
      </c>
      <c r="AR8" s="52">
        <v>24</v>
      </c>
      <c r="AS8" s="52">
        <v>10</v>
      </c>
      <c r="AT8" s="52">
        <v>16</v>
      </c>
      <c r="AU8" s="52">
        <v>15</v>
      </c>
      <c r="AV8" s="53">
        <v>18</v>
      </c>
      <c r="AW8" s="102">
        <v>41882</v>
      </c>
      <c r="AX8" s="108">
        <v>41866</v>
      </c>
      <c r="AY8" s="108">
        <v>42070</v>
      </c>
      <c r="AZ8" s="15"/>
      <c r="BA8" s="108">
        <v>41994</v>
      </c>
      <c r="BB8" s="108">
        <v>41938</v>
      </c>
      <c r="BC8" s="108">
        <v>41903</v>
      </c>
      <c r="BD8" s="108">
        <v>42021</v>
      </c>
      <c r="BE8" s="155">
        <v>41854</v>
      </c>
      <c r="BF8" s="108">
        <v>42050</v>
      </c>
      <c r="BG8" s="108">
        <v>42064</v>
      </c>
      <c r="BH8" s="108">
        <v>42035</v>
      </c>
      <c r="BI8" s="108">
        <v>41917</v>
      </c>
      <c r="BJ8" s="108">
        <v>41965</v>
      </c>
      <c r="BK8" s="109">
        <v>41952</v>
      </c>
      <c r="BL8" s="110">
        <v>41980</v>
      </c>
      <c r="BN8" s="194">
        <f t="shared" si="44"/>
        <v>1.0101010399999999</v>
      </c>
      <c r="BO8" s="18" t="str">
        <f t="shared" si="10"/>
        <v>Club Brugge</v>
      </c>
      <c r="BP8" s="19">
        <f t="shared" si="11"/>
        <v>61</v>
      </c>
      <c r="BQ8" s="19">
        <f t="shared" si="12"/>
        <v>30</v>
      </c>
      <c r="BR8" s="19">
        <f>CHOOSE(StandBer,COUNTIF(CC42:CR42,"t")+COUNTIF(CF39:CF54,"u")+COUNTIF(CT42:DI42,"t")+COUNTIF(CW39:CW54,"u"),COUNTIF(CC42:CR42,"t")+COUNTIF(CF39:CF54,"u"),COUNTIF(CT42:DI42,"t")+COUNTIF(CW39:CW54,"u"),COUNTIF(CC42:CR42,"t")+COUNTIF(CT42:DI42,"t"),COUNTIF(CF39:CF54,"u")+COUNTIF(CW39:CW54,"u"))</f>
        <v>17</v>
      </c>
      <c r="BS8" s="19">
        <f>CHOOSE(StandBer,COUNTIF(CC42:CR42,"u")+COUNTIF(CF39:CF54,"t")+COUNTIF(CT42:DI42,"u")+COUNTIF(CW39:CW54,"t"),COUNTIF(CC42:CR42,"u")+COUNTIF(CF39:CF54,"t"),COUNTIF(CT42:DI42,"u")+COUNTIF(CW39:CW54,"t"),COUNTIF(CC42:CR42,"u")+COUNTIF(CT42:DI42,"u"),COUNTIF(CF39:CF54,"t")+COUNTIF(CW39:CW54,"t"))+BX8</f>
        <v>3</v>
      </c>
      <c r="BT8" s="19">
        <f>CHOOSE(StandBer,COUNTIF(CC42:CR42,"g")+COUNTIF(CF39:CF54,"g")+COUNTIF(CT42:DI42,"g")+COUNTIF(CW39:CW54,"g"),COUNTIF(CC42:CR42,"g")+COUNTIF(CF39:CF54,"g"),COUNTIF(CT42:DI42,"g")+COUNTIF(CW39:CW54,"g"),COUNTIF(CC42:CR42,"g")+COUNTIF(CT42:DI42,"g"),COUNTIF(CF39:CF54,"g")+COUNTIF(CW39:CW54,"g"))</f>
        <v>10</v>
      </c>
      <c r="BU8" s="19">
        <f>CHOOSE(StandBer,SUM(CC8:CR8)+SUM(CF22:CF37)+SUM(CT8:DI8)+SUM(CW22:CW37),SUM(CC8:CR8)+SUM(CF22:CF37),SUM(CT8:DI8)+SUM(CW22:CW37),SUM(CC8:CR8)+SUM(CT8:DI8),SUM(CF22:CF37)+SUM(CW22:CW37))-5*BX8</f>
        <v>69</v>
      </c>
      <c r="BV8" s="19">
        <f>CHOOSE(StandBer,SUM(CF5:CF20)+SUM(CC25:CR25)+SUM(CW5:CW20)+SUM(CT25:DI25),SUM(CF5:CF20)+SUM(CC25:CR25),SUM(CW5:CW20)+SUM(CT25:DI25),SUM(CF5:CF20)+SUM(CW5:CW20),SUM(CC25:CR25)+SUM(CT25:DI25))</f>
        <v>28</v>
      </c>
      <c r="BW8" s="19">
        <f t="shared" si="13"/>
        <v>41</v>
      </c>
      <c r="BX8" s="19">
        <f>CHOOSE(StandBer,COUNTIF(CC42:CR42,"ff")+COUNTIF(CF39:CF54,"ff")+COUNTIF(CT42:DI42,"ff")+COUNTIF(CW39:CW54,"ff"),COUNTIF(CC42:CR42,"ff")+COUNTIF(CF39:CF54,"ff"),COUNTIF(CT42:DI42,"ff")+COUNTIF(CW39:CW54,"ff"),COUNTIF(CC42:CR42,"ff")+COUNTIF(CT42:DI42,"ff"),COUNTIF(CF39:CF54,"ff")+COUNTIF(CW39:CW54,"ff"))</f>
        <v>0</v>
      </c>
      <c r="BY8" s="19">
        <v>4</v>
      </c>
      <c r="BZ8" s="194">
        <f>SMALL(BN5:BN20,4)</f>
        <v>4.0201061299999994</v>
      </c>
      <c r="CB8" s="13"/>
      <c r="CC8" s="23">
        <f t="shared" si="45"/>
        <v>2</v>
      </c>
      <c r="CD8" s="24">
        <f t="shared" si="14"/>
        <v>1</v>
      </c>
      <c r="CE8" s="24" t="str">
        <f t="shared" si="15"/>
        <v/>
      </c>
      <c r="CF8" s="24"/>
      <c r="CG8" s="24" t="str">
        <f t="shared" si="17"/>
        <v/>
      </c>
      <c r="CH8" s="24">
        <f t="shared" si="18"/>
        <v>2</v>
      </c>
      <c r="CI8" s="24">
        <f t="shared" si="19"/>
        <v>5</v>
      </c>
      <c r="CJ8" s="24" t="str">
        <f t="shared" si="20"/>
        <v/>
      </c>
      <c r="CK8" s="24">
        <f t="shared" si="21"/>
        <v>1</v>
      </c>
      <c r="CL8" s="24" t="str">
        <f t="shared" si="22"/>
        <v/>
      </c>
      <c r="CM8" s="24" t="str">
        <f t="shared" si="23"/>
        <v/>
      </c>
      <c r="CN8" s="24" t="str">
        <f t="shared" si="24"/>
        <v/>
      </c>
      <c r="CO8" s="24">
        <f t="shared" si="25"/>
        <v>3</v>
      </c>
      <c r="CP8" s="24" t="str">
        <f t="shared" si="26"/>
        <v/>
      </c>
      <c r="CQ8" s="24">
        <f t="shared" si="27"/>
        <v>5</v>
      </c>
      <c r="CR8" s="25" t="str">
        <f t="shared" si="28"/>
        <v/>
      </c>
      <c r="CS8" s="19"/>
      <c r="CT8" s="23" t="str">
        <f t="shared" si="46"/>
        <v/>
      </c>
      <c r="CU8" s="24" t="str">
        <f t="shared" si="29"/>
        <v/>
      </c>
      <c r="CV8" s="24">
        <f t="shared" si="30"/>
        <v>1</v>
      </c>
      <c r="CW8" s="24"/>
      <c r="CX8" s="24">
        <f t="shared" si="32"/>
        <v>4</v>
      </c>
      <c r="CY8" s="24" t="str">
        <f t="shared" si="33"/>
        <v/>
      </c>
      <c r="CZ8" s="24" t="str">
        <f t="shared" si="34"/>
        <v/>
      </c>
      <c r="DA8" s="24">
        <f t="shared" si="35"/>
        <v>1</v>
      </c>
      <c r="DB8" s="24" t="str">
        <f t="shared" si="36"/>
        <v/>
      </c>
      <c r="DC8" s="24">
        <f t="shared" si="37"/>
        <v>1</v>
      </c>
      <c r="DD8" s="24">
        <f t="shared" si="38"/>
        <v>3</v>
      </c>
      <c r="DE8" s="24">
        <f t="shared" si="39"/>
        <v>2</v>
      </c>
      <c r="DF8" s="24" t="str">
        <f t="shared" si="40"/>
        <v/>
      </c>
      <c r="DG8" s="24">
        <f t="shared" si="41"/>
        <v>4</v>
      </c>
      <c r="DH8" s="24" t="str">
        <f t="shared" si="42"/>
        <v/>
      </c>
      <c r="DI8" s="25">
        <f t="shared" si="43"/>
        <v>2</v>
      </c>
    </row>
    <row r="9" spans="1:113" ht="15" customHeight="1" x14ac:dyDescent="0.3">
      <c r="A9" s="46"/>
      <c r="C9" s="39">
        <f>IF(RANK(E9,E5:E20,0)&gt;RANK(E8,E5:E20,0),RANK(E9,E5:E20,0),"")</f>
        <v>5</v>
      </c>
      <c r="D9" s="58" t="str">
        <f t="shared" si="0"/>
        <v>Kortrijk</v>
      </c>
      <c r="E9" s="105">
        <f t="shared" si="1"/>
        <v>51</v>
      </c>
      <c r="F9" s="59">
        <f t="shared" si="2"/>
        <v>30</v>
      </c>
      <c r="G9" s="59" t="str">
        <f>REPT(IF(F9-MODE(F5:F20)&lt;0,"-","+"),ABS(F9-MODE(F5:F20)))</f>
        <v/>
      </c>
      <c r="H9" s="59">
        <f t="shared" si="3"/>
        <v>16</v>
      </c>
      <c r="I9" s="59">
        <f t="shared" si="4"/>
        <v>11</v>
      </c>
      <c r="J9" s="59">
        <f t="shared" si="5"/>
        <v>3</v>
      </c>
      <c r="K9" s="59">
        <f t="shared" si="6"/>
        <v>54</v>
      </c>
      <c r="L9" s="59">
        <f t="shared" si="7"/>
        <v>35</v>
      </c>
      <c r="M9" s="60">
        <f t="shared" si="8"/>
        <v>19</v>
      </c>
      <c r="N9" s="59">
        <f t="shared" si="9"/>
        <v>39</v>
      </c>
      <c r="P9" s="11" t="s">
        <v>43</v>
      </c>
      <c r="Q9" s="92" t="s">
        <v>85</v>
      </c>
      <c r="R9" s="49" t="s">
        <v>50</v>
      </c>
      <c r="S9" s="49" t="s">
        <v>50</v>
      </c>
      <c r="T9" s="49" t="s">
        <v>50</v>
      </c>
      <c r="U9" s="35"/>
      <c r="V9" s="49" t="s">
        <v>110</v>
      </c>
      <c r="W9" s="49" t="s">
        <v>86</v>
      </c>
      <c r="X9" s="49" t="s">
        <v>86</v>
      </c>
      <c r="Y9" s="162" t="s">
        <v>86</v>
      </c>
      <c r="Z9" s="49" t="s">
        <v>51</v>
      </c>
      <c r="AA9" s="49" t="s">
        <v>53</v>
      </c>
      <c r="AB9" s="49" t="s">
        <v>50</v>
      </c>
      <c r="AC9" s="49" t="s">
        <v>85</v>
      </c>
      <c r="AD9" s="64" t="s">
        <v>52</v>
      </c>
      <c r="AE9" s="64" t="s">
        <v>90</v>
      </c>
      <c r="AF9" s="107" t="s">
        <v>110</v>
      </c>
      <c r="AG9" s="95">
        <v>27</v>
      </c>
      <c r="AH9" s="52">
        <v>2</v>
      </c>
      <c r="AI9" s="52">
        <v>9</v>
      </c>
      <c r="AJ9" s="52">
        <v>7</v>
      </c>
      <c r="AK9" s="56"/>
      <c r="AL9" s="52">
        <v>5</v>
      </c>
      <c r="AM9" s="52">
        <v>19</v>
      </c>
      <c r="AN9" s="52">
        <v>16</v>
      </c>
      <c r="AO9" s="150">
        <v>13</v>
      </c>
      <c r="AP9" s="52">
        <v>3</v>
      </c>
      <c r="AQ9" s="52">
        <v>23</v>
      </c>
      <c r="AR9" s="52">
        <v>21</v>
      </c>
      <c r="AS9" s="52">
        <v>15</v>
      </c>
      <c r="AT9" s="52">
        <v>25</v>
      </c>
      <c r="AU9" s="52">
        <v>11</v>
      </c>
      <c r="AV9" s="53">
        <v>29</v>
      </c>
      <c r="AW9" s="102">
        <v>42056</v>
      </c>
      <c r="AX9" s="108">
        <v>41853</v>
      </c>
      <c r="AY9" s="108">
        <v>41909</v>
      </c>
      <c r="AZ9" s="108">
        <v>41896</v>
      </c>
      <c r="BA9" s="15"/>
      <c r="BB9" s="108">
        <v>41874</v>
      </c>
      <c r="BC9" s="108">
        <v>41986</v>
      </c>
      <c r="BD9" s="108">
        <v>41966</v>
      </c>
      <c r="BE9" s="155">
        <v>41940</v>
      </c>
      <c r="BF9" s="108">
        <v>41859</v>
      </c>
      <c r="BG9" s="108">
        <v>42028</v>
      </c>
      <c r="BH9" s="108">
        <v>42038</v>
      </c>
      <c r="BI9" s="108">
        <v>41952</v>
      </c>
      <c r="BJ9" s="108">
        <v>42043</v>
      </c>
      <c r="BK9" s="109">
        <v>41931</v>
      </c>
      <c r="BL9" s="110">
        <v>42070</v>
      </c>
      <c r="BN9" s="194">
        <f t="shared" si="44"/>
        <v>6.0701070499999998</v>
      </c>
      <c r="BO9" s="18" t="str">
        <f t="shared" si="10"/>
        <v>Genk</v>
      </c>
      <c r="BP9" s="19">
        <f t="shared" si="11"/>
        <v>49</v>
      </c>
      <c r="BQ9" s="19">
        <f t="shared" si="12"/>
        <v>30</v>
      </c>
      <c r="BR9" s="19">
        <f>CHOOSE(StandBer,COUNTIF(CC43:CR43,"t")+COUNTIF(CG39:CG54,"u")+COUNTIF(CT43:DI43,"t")+COUNTIF(CX39:CX54,"u"),COUNTIF(CC43:CR43,"t")+COUNTIF(CG39:CG54,"u"),COUNTIF(CT43:DI43,"t")+COUNTIF(CX39:CX54,"u"),COUNTIF(CC43:CR43,"t")+COUNTIF(CT43:DI43,"t"),COUNTIF(CG39:CG54,"u")+COUNTIF(CX39:CX54,"u"))</f>
        <v>13</v>
      </c>
      <c r="BS9" s="19">
        <f>CHOOSE(StandBer,COUNTIF(CC43:CR43,"u")+COUNTIF(CG39:CG54,"t")+COUNTIF(CT43:DI43,"u")+COUNTIF(CX39:CX54,"t"),COUNTIF(CC43:CR43,"u")+COUNTIF(CG39:CG54,"t"),COUNTIF(CT43:DI43,"u")+COUNTIF(CX39:CX54,"t"),COUNTIF(CC43:CR43,"u")+COUNTIF(CT43:DI43,"u"),COUNTIF(CG39:CG54,"t")+COUNTIF(CX39:CX54,"t"))+BX9</f>
        <v>7</v>
      </c>
      <c r="BT9" s="19">
        <f>CHOOSE(StandBer,COUNTIF(CC43:CR43,"g")+COUNTIF(CG39:CG54,"g")+COUNTIF(CT43:DI43,"g")+COUNTIF(CX39:CX54,"g"),COUNTIF(CC43:CR43,"g")+COUNTIF(CG39:CG54,"g"),COUNTIF(CT43:DI43,"g")+COUNTIF(CX39:CX54,"g"),COUNTIF(CC43:CR43,"g")+COUNTIF(CT43:DI43,"g"),COUNTIF(CG39:CG54,"g")+COUNTIF(CX39:CX54,"g"))</f>
        <v>10</v>
      </c>
      <c r="BU9" s="19">
        <f>CHOOSE(StandBer,SUM(CC9:CR9)+SUM(CG22:CG37)+SUM(CT9:DI9)+SUM(CX22:CX37),SUM(CC9:CR9)+SUM(CG22:CG37),SUM(CT9:DI9)+SUM(CX22:CX37),SUM(CC9:CR9)+SUM(CT9:DI9),SUM(CG22:CG37)+SUM(CX22:CX37))-5*BX9</f>
        <v>38</v>
      </c>
      <c r="BV9" s="19">
        <f>CHOOSE(StandBer,SUM(CG5:CG20)+SUM(CC26:CR26)+SUM(CX5:CX20)+SUM(CT26:DI26),SUM(CG5:CG20)+SUM(CC26:CR26),SUM(CX5:CX20)+SUM(CT26:DI26),SUM(CG5:CG20)+SUM(CX5:CX20),SUM(CC26:CR26)+SUM(CT26:DI26))</f>
        <v>29</v>
      </c>
      <c r="BW9" s="19">
        <f t="shared" si="13"/>
        <v>9</v>
      </c>
      <c r="BX9" s="19">
        <f>CHOOSE(StandBer,COUNTIF(CC43:CR43,"ff")+COUNTIF(CG39:CG54,"ff")+COUNTIF(CT43:DI43,"ff")+COUNTIF(CX39:CX54,"ff"),COUNTIF(CC43:CR43,"ff")+COUNTIF(CG39:CG54,"ff"),COUNTIF(CT43:DI43,"ff")+COUNTIF(CX39:CX54,"ff"),COUNTIF(CC43:CR43,"ff")+COUNTIF(CT43:DI43,"ff"),COUNTIF(CG39:CG54,"ff")+COUNTIF(CX39:CX54,"ff"))</f>
        <v>0</v>
      </c>
      <c r="BY9" s="19">
        <v>5</v>
      </c>
      <c r="BZ9" s="194">
        <f>SMALL(BN5:BN20,5)</f>
        <v>5.0201040699999986</v>
      </c>
      <c r="CB9" s="13"/>
      <c r="CC9" s="23" t="str">
        <f t="shared" si="45"/>
        <v/>
      </c>
      <c r="CD9" s="24">
        <f t="shared" si="14"/>
        <v>1</v>
      </c>
      <c r="CE9" s="24">
        <f t="shared" si="15"/>
        <v>1</v>
      </c>
      <c r="CF9" s="24">
        <f t="shared" si="16"/>
        <v>1</v>
      </c>
      <c r="CG9" s="24"/>
      <c r="CH9" s="24">
        <f t="shared" si="18"/>
        <v>3</v>
      </c>
      <c r="CI9" s="24" t="str">
        <f t="shared" si="19"/>
        <v/>
      </c>
      <c r="CJ9" s="24" t="str">
        <f t="shared" si="20"/>
        <v/>
      </c>
      <c r="CK9" s="24">
        <f t="shared" si="21"/>
        <v>3</v>
      </c>
      <c r="CL9" s="24">
        <f t="shared" si="22"/>
        <v>0</v>
      </c>
      <c r="CM9" s="24" t="str">
        <f t="shared" si="23"/>
        <v/>
      </c>
      <c r="CN9" s="24" t="str">
        <f t="shared" si="24"/>
        <v/>
      </c>
      <c r="CO9" s="24">
        <f t="shared" si="25"/>
        <v>0</v>
      </c>
      <c r="CP9" s="24" t="str">
        <f t="shared" si="26"/>
        <v/>
      </c>
      <c r="CQ9" s="24">
        <f t="shared" si="27"/>
        <v>3</v>
      </c>
      <c r="CR9" s="25" t="str">
        <f t="shared" si="28"/>
        <v/>
      </c>
      <c r="CS9" s="19"/>
      <c r="CT9" s="23">
        <f t="shared" si="46"/>
        <v>0</v>
      </c>
      <c r="CU9" s="24" t="str">
        <f t="shared" si="29"/>
        <v/>
      </c>
      <c r="CV9" s="24" t="str">
        <f t="shared" si="30"/>
        <v/>
      </c>
      <c r="CW9" s="24" t="str">
        <f t="shared" si="31"/>
        <v/>
      </c>
      <c r="CX9" s="24"/>
      <c r="CY9" s="24" t="str">
        <f t="shared" si="33"/>
        <v/>
      </c>
      <c r="CZ9" s="24">
        <f t="shared" si="34"/>
        <v>3</v>
      </c>
      <c r="DA9" s="24">
        <f t="shared" si="35"/>
        <v>3</v>
      </c>
      <c r="DB9" s="24" t="str">
        <f t="shared" si="36"/>
        <v/>
      </c>
      <c r="DC9" s="24" t="str">
        <f t="shared" si="37"/>
        <v/>
      </c>
      <c r="DD9" s="24">
        <f t="shared" si="38"/>
        <v>2</v>
      </c>
      <c r="DE9" s="24">
        <f t="shared" si="39"/>
        <v>1</v>
      </c>
      <c r="DF9" s="24" t="str">
        <f t="shared" si="40"/>
        <v/>
      </c>
      <c r="DG9" s="24">
        <f t="shared" si="41"/>
        <v>1</v>
      </c>
      <c r="DH9" s="24" t="str">
        <f t="shared" si="42"/>
        <v/>
      </c>
      <c r="DI9" s="25">
        <f t="shared" si="43"/>
        <v>3</v>
      </c>
    </row>
    <row r="10" spans="1:113" ht="15" customHeight="1" x14ac:dyDescent="0.3">
      <c r="A10" s="46"/>
      <c r="C10" s="39">
        <f>IF(RANK(E10,E5:E20,0)&gt;RANK(E9,E5:E20,0),RANK(E10,E5:E20,0),"")</f>
        <v>6</v>
      </c>
      <c r="D10" s="58" t="str">
        <f t="shared" si="0"/>
        <v>Charleroi</v>
      </c>
      <c r="E10" s="105">
        <f t="shared" si="1"/>
        <v>49</v>
      </c>
      <c r="F10" s="59">
        <f t="shared" si="2"/>
        <v>30</v>
      </c>
      <c r="G10" s="59" t="str">
        <f>REPT(IF(F10-MODE(F5:F20)&lt;0,"-","+"),ABS(F10-MODE(F5:F20)))</f>
        <v/>
      </c>
      <c r="H10" s="59">
        <f t="shared" si="3"/>
        <v>14</v>
      </c>
      <c r="I10" s="59">
        <f t="shared" si="4"/>
        <v>9</v>
      </c>
      <c r="J10" s="59">
        <f t="shared" si="5"/>
        <v>7</v>
      </c>
      <c r="K10" s="59">
        <f t="shared" si="6"/>
        <v>44</v>
      </c>
      <c r="L10" s="59">
        <f t="shared" si="7"/>
        <v>31</v>
      </c>
      <c r="M10" s="60">
        <f t="shared" si="8"/>
        <v>13</v>
      </c>
      <c r="N10" s="59">
        <f t="shared" si="9"/>
        <v>41</v>
      </c>
      <c r="P10" s="11" t="s">
        <v>44</v>
      </c>
      <c r="Q10" s="92" t="s">
        <v>85</v>
      </c>
      <c r="R10" s="49" t="s">
        <v>111</v>
      </c>
      <c r="S10" s="49" t="s">
        <v>107</v>
      </c>
      <c r="T10" s="49" t="s">
        <v>106</v>
      </c>
      <c r="U10" s="49" t="s">
        <v>51</v>
      </c>
      <c r="V10" s="35"/>
      <c r="W10" s="49" t="s">
        <v>92</v>
      </c>
      <c r="X10" s="49" t="s">
        <v>90</v>
      </c>
      <c r="Y10" s="162" t="s">
        <v>106</v>
      </c>
      <c r="Z10" s="49" t="s">
        <v>50</v>
      </c>
      <c r="AA10" s="49" t="s">
        <v>52</v>
      </c>
      <c r="AB10" s="49" t="s">
        <v>90</v>
      </c>
      <c r="AC10" s="49" t="s">
        <v>108</v>
      </c>
      <c r="AD10" s="49" t="s">
        <v>124</v>
      </c>
      <c r="AE10" s="64" t="s">
        <v>111</v>
      </c>
      <c r="AF10" s="107" t="s">
        <v>90</v>
      </c>
      <c r="AG10" s="95">
        <v>15</v>
      </c>
      <c r="AH10" s="52">
        <v>16</v>
      </c>
      <c r="AI10" s="52">
        <v>11</v>
      </c>
      <c r="AJ10" s="52">
        <v>27</v>
      </c>
      <c r="AK10" s="52">
        <v>18</v>
      </c>
      <c r="AL10" s="56"/>
      <c r="AM10" s="52">
        <v>6</v>
      </c>
      <c r="AN10" s="52">
        <v>2</v>
      </c>
      <c r="AO10" s="150">
        <v>29</v>
      </c>
      <c r="AP10" s="52">
        <v>9</v>
      </c>
      <c r="AQ10" s="52">
        <v>7</v>
      </c>
      <c r="AR10" s="52">
        <v>23</v>
      </c>
      <c r="AS10" s="52">
        <v>20</v>
      </c>
      <c r="AT10" s="52">
        <v>13</v>
      </c>
      <c r="AU10" s="52">
        <v>25</v>
      </c>
      <c r="AV10" s="53">
        <v>4</v>
      </c>
      <c r="AW10" s="102">
        <v>41952</v>
      </c>
      <c r="AX10" s="108">
        <v>41965</v>
      </c>
      <c r="AY10" s="108">
        <v>41930</v>
      </c>
      <c r="AZ10" s="108">
        <v>42056</v>
      </c>
      <c r="BA10" s="108">
        <v>41980</v>
      </c>
      <c r="BB10" s="15"/>
      <c r="BC10" s="108">
        <v>41881</v>
      </c>
      <c r="BD10" s="108">
        <v>41854</v>
      </c>
      <c r="BE10" s="155">
        <v>42070</v>
      </c>
      <c r="BF10" s="108">
        <v>41910</v>
      </c>
      <c r="BG10" s="108">
        <v>41896</v>
      </c>
      <c r="BH10" s="108">
        <v>42028</v>
      </c>
      <c r="BI10" s="108">
        <v>41994</v>
      </c>
      <c r="BJ10" s="108">
        <v>41941</v>
      </c>
      <c r="BK10" s="109">
        <v>42042</v>
      </c>
      <c r="BL10" s="110">
        <v>41868</v>
      </c>
      <c r="BN10" s="194">
        <f t="shared" si="44"/>
        <v>2.0201020600000001</v>
      </c>
      <c r="BO10" s="18" t="str">
        <f t="shared" si="10"/>
        <v>Gent</v>
      </c>
      <c r="BP10" s="19">
        <f t="shared" si="11"/>
        <v>57</v>
      </c>
      <c r="BQ10" s="19">
        <f t="shared" si="12"/>
        <v>30</v>
      </c>
      <c r="BR10" s="19">
        <f>CHOOSE(StandBer,COUNTIF(CC44:CR44,"t")+COUNTIF(CH39:CH54,"u")+COUNTIF(CT44:DI44,"t")+COUNTIF(CY39:CY54,"u"),COUNTIF(CC44:CR44,"t")+COUNTIF(CH39:CH54,"u"),COUNTIF(CT44:DI44,"t")+COUNTIF(CY39:CY54,"u"),COUNTIF(CC44:CR44,"t")+COUNTIF(CT44:DI44,"t"),COUNTIF(CH39:CH54,"u")+COUNTIF(CY39:CY54,"u"))</f>
        <v>16</v>
      </c>
      <c r="BS10" s="19">
        <f>CHOOSE(StandBer,COUNTIF(CC44:CR44,"u")+COUNTIF(CH39:CH54,"t")+COUNTIF(CT44:DI44,"u")+COUNTIF(CY39:CY54,"t"),COUNTIF(CC44:CR44,"u")+COUNTIF(CH39:CH54,"t"),COUNTIF(CT44:DI44,"u")+COUNTIF(CY39:CY54,"t"),COUNTIF(CC44:CR44,"u")+COUNTIF(CT44:DI44,"u"),COUNTIF(CH39:CH54,"t")+COUNTIF(CY39:CY54,"t"))+BX10</f>
        <v>5</v>
      </c>
      <c r="BT10" s="19">
        <f>CHOOSE(StandBer,COUNTIF(CC44:CR44,"g")+COUNTIF(CH39:CH54,"g")+COUNTIF(CT44:DI44,"g")+COUNTIF(CY39:CY54,"g"),COUNTIF(CC44:CR44,"g")+COUNTIF(CH39:CH54,"g"),COUNTIF(CT44:DI44,"g")+COUNTIF(CY39:CY54,"g"),COUNTIF(CC44:CR44,"g")+COUNTIF(CT44:DI44,"g"),COUNTIF(CH39:CH54,"g")+COUNTIF(CY39:CY54,"g"))</f>
        <v>9</v>
      </c>
      <c r="BU10" s="19">
        <f>CHOOSE(StandBer,SUM(CC10:CR10)+SUM(CH22:CH37)+SUM(CT10:DI10)+SUM(CY22:CY37),SUM(CC10:CR10)+SUM(CH22:CH37),SUM(CT10:DI10)+SUM(CY22:CY37),SUM(CC10:CR10)+SUM(CT10:DI10),SUM(CH22:CH37)+SUM(CY22:CY37))-5*BX10</f>
        <v>52</v>
      </c>
      <c r="BV10" s="19">
        <f>CHOOSE(StandBer,SUM(CH5:CH20)+SUM(CC27:CR27)+SUM(CY5:CY20)+SUM(CT27:DI27),SUM(CH5:CH20)+SUM(CC27:CR27),SUM(CY5:CY20)+SUM(CT27:DI27),SUM(CH5:CH20)+SUM(CY5:CY20),SUM(CC27:CR27)+SUM(CT27:DI27))</f>
        <v>29</v>
      </c>
      <c r="BW10" s="19">
        <f t="shared" si="13"/>
        <v>23</v>
      </c>
      <c r="BX10" s="19">
        <f>CHOOSE(StandBer,COUNTIF(CC44:CR44,"ff")+COUNTIF(CH39:CH54,"ff")+COUNTIF(CT44:DI44,"ff")+COUNTIF(CY39:CY54,"ff"),COUNTIF(CC44:CR44,"ff")+COUNTIF(CH39:CH54,"ff"),COUNTIF(CT44:DI44,"ff")+COUNTIF(CY39:CY54,"ff"),COUNTIF(CC44:CR44,"ff")+COUNTIF(CT44:DI44,"ff"),COUNTIF(CH39:CH54,"ff")+COUNTIF(CY39:CY54,"ff"))</f>
        <v>0</v>
      </c>
      <c r="BY10" s="19">
        <v>6</v>
      </c>
      <c r="BZ10" s="194">
        <f>SMALL(BN5:BN20,6)</f>
        <v>6.060105029999999</v>
      </c>
      <c r="CB10" s="13"/>
      <c r="CC10" s="23">
        <f t="shared" si="45"/>
        <v>0</v>
      </c>
      <c r="CD10" s="24" t="str">
        <f t="shared" si="14"/>
        <v/>
      </c>
      <c r="CE10" s="24">
        <f t="shared" si="15"/>
        <v>2</v>
      </c>
      <c r="CF10" s="24" t="str">
        <f t="shared" si="16"/>
        <v/>
      </c>
      <c r="CG10" s="24" t="str">
        <f t="shared" si="17"/>
        <v/>
      </c>
      <c r="CH10" s="24"/>
      <c r="CI10" s="24">
        <f t="shared" si="19"/>
        <v>0</v>
      </c>
      <c r="CJ10" s="24">
        <f t="shared" si="20"/>
        <v>3</v>
      </c>
      <c r="CK10" s="24" t="str">
        <f t="shared" si="21"/>
        <v/>
      </c>
      <c r="CL10" s="24">
        <f t="shared" si="22"/>
        <v>1</v>
      </c>
      <c r="CM10" s="24">
        <f t="shared" si="23"/>
        <v>1</v>
      </c>
      <c r="CN10" s="24" t="str">
        <f t="shared" si="24"/>
        <v/>
      </c>
      <c r="CO10" s="24" t="str">
        <f t="shared" si="25"/>
        <v/>
      </c>
      <c r="CP10" s="24">
        <f t="shared" si="26"/>
        <v>4</v>
      </c>
      <c r="CQ10" s="24" t="str">
        <f t="shared" si="27"/>
        <v/>
      </c>
      <c r="CR10" s="25">
        <f t="shared" si="28"/>
        <v>3</v>
      </c>
      <c r="CS10" s="19"/>
      <c r="CT10" s="23" t="str">
        <f t="shared" si="46"/>
        <v/>
      </c>
      <c r="CU10" s="24">
        <f t="shared" si="29"/>
        <v>4</v>
      </c>
      <c r="CV10" s="24" t="str">
        <f t="shared" si="30"/>
        <v/>
      </c>
      <c r="CW10" s="24">
        <f t="shared" si="31"/>
        <v>2</v>
      </c>
      <c r="CX10" s="24">
        <f t="shared" si="32"/>
        <v>0</v>
      </c>
      <c r="CY10" s="24"/>
      <c r="CZ10" s="24" t="str">
        <f t="shared" si="34"/>
        <v/>
      </c>
      <c r="DA10" s="24" t="str">
        <f t="shared" si="35"/>
        <v/>
      </c>
      <c r="DB10" s="24">
        <f t="shared" si="36"/>
        <v>2</v>
      </c>
      <c r="DC10" s="24" t="str">
        <f t="shared" si="37"/>
        <v/>
      </c>
      <c r="DD10" s="24" t="str">
        <f t="shared" si="38"/>
        <v/>
      </c>
      <c r="DE10" s="24">
        <f t="shared" si="39"/>
        <v>3</v>
      </c>
      <c r="DF10" s="24">
        <f t="shared" si="40"/>
        <v>1</v>
      </c>
      <c r="DG10" s="24" t="str">
        <f t="shared" si="41"/>
        <v/>
      </c>
      <c r="DH10" s="24">
        <f t="shared" si="42"/>
        <v>4</v>
      </c>
      <c r="DI10" s="25" t="str">
        <f t="shared" si="43"/>
        <v/>
      </c>
    </row>
    <row r="11" spans="1:113" ht="15" customHeight="1" x14ac:dyDescent="0.3">
      <c r="A11" s="46"/>
      <c r="C11" s="39" t="str">
        <f>IF(RANK(E11,E5:E20,0)&gt;RANK(E10,E5:E20,0),RANK(E11,E5:E20,0),"")</f>
        <v/>
      </c>
      <c r="D11" s="58" t="str">
        <f t="shared" si="0"/>
        <v>Genk</v>
      </c>
      <c r="E11" s="105">
        <f t="shared" si="1"/>
        <v>49</v>
      </c>
      <c r="F11" s="59">
        <f t="shared" si="2"/>
        <v>30</v>
      </c>
      <c r="G11" s="59" t="str">
        <f>REPT(IF(F11-MODE(F5:F20)&lt;0,"-","+"),ABS(F11-MODE(F5:F20)))</f>
        <v/>
      </c>
      <c r="H11" s="59">
        <f t="shared" si="3"/>
        <v>13</v>
      </c>
      <c r="I11" s="59">
        <f t="shared" si="4"/>
        <v>7</v>
      </c>
      <c r="J11" s="59">
        <f t="shared" si="5"/>
        <v>10</v>
      </c>
      <c r="K11" s="59">
        <f t="shared" si="6"/>
        <v>38</v>
      </c>
      <c r="L11" s="59">
        <f t="shared" si="7"/>
        <v>29</v>
      </c>
      <c r="M11" s="60">
        <f t="shared" si="8"/>
        <v>9</v>
      </c>
      <c r="N11" s="59">
        <f t="shared" si="9"/>
        <v>41</v>
      </c>
      <c r="P11" s="11" t="s">
        <v>45</v>
      </c>
      <c r="Q11" s="92" t="s">
        <v>105</v>
      </c>
      <c r="R11" s="49" t="s">
        <v>52</v>
      </c>
      <c r="S11" s="49" t="s">
        <v>51</v>
      </c>
      <c r="T11" s="49" t="s">
        <v>53</v>
      </c>
      <c r="U11" s="49" t="s">
        <v>50</v>
      </c>
      <c r="V11" s="49" t="s">
        <v>105</v>
      </c>
      <c r="W11" s="35"/>
      <c r="X11" s="49" t="s">
        <v>86</v>
      </c>
      <c r="Y11" s="162" t="s">
        <v>52</v>
      </c>
      <c r="Z11" s="49" t="s">
        <v>105</v>
      </c>
      <c r="AA11" s="49" t="s">
        <v>86</v>
      </c>
      <c r="AB11" s="49" t="s">
        <v>85</v>
      </c>
      <c r="AC11" s="49" t="s">
        <v>105</v>
      </c>
      <c r="AD11" s="49" t="s">
        <v>106</v>
      </c>
      <c r="AE11" s="64" t="s">
        <v>132</v>
      </c>
      <c r="AF11" s="107" t="s">
        <v>90</v>
      </c>
      <c r="AG11" s="95">
        <v>13</v>
      </c>
      <c r="AH11" s="52">
        <v>29</v>
      </c>
      <c r="AI11" s="52">
        <v>23</v>
      </c>
      <c r="AJ11" s="52">
        <v>25</v>
      </c>
      <c r="AK11" s="52">
        <v>4</v>
      </c>
      <c r="AL11" s="52">
        <v>21</v>
      </c>
      <c r="AM11" s="56"/>
      <c r="AN11" s="52">
        <v>18</v>
      </c>
      <c r="AO11" s="150">
        <v>15</v>
      </c>
      <c r="AP11" s="52">
        <v>7</v>
      </c>
      <c r="AQ11" s="52">
        <v>9</v>
      </c>
      <c r="AR11" s="52">
        <v>5</v>
      </c>
      <c r="AS11" s="52">
        <v>2</v>
      </c>
      <c r="AT11" s="52">
        <v>11</v>
      </c>
      <c r="AU11" s="52">
        <v>27</v>
      </c>
      <c r="AV11" s="53">
        <v>16</v>
      </c>
      <c r="AW11" s="102">
        <v>41941</v>
      </c>
      <c r="AX11" s="108">
        <v>42070</v>
      </c>
      <c r="AY11" s="108">
        <v>42028</v>
      </c>
      <c r="AZ11" s="108">
        <v>42043</v>
      </c>
      <c r="BA11" s="108">
        <v>41867</v>
      </c>
      <c r="BB11" s="108">
        <v>41999</v>
      </c>
      <c r="BC11" s="15"/>
      <c r="BD11" s="108">
        <v>41979</v>
      </c>
      <c r="BE11" s="155">
        <v>41951</v>
      </c>
      <c r="BF11" s="108">
        <v>41896</v>
      </c>
      <c r="BG11" s="108">
        <v>41909</v>
      </c>
      <c r="BH11" s="108">
        <v>41874</v>
      </c>
      <c r="BI11" s="108">
        <v>41853</v>
      </c>
      <c r="BJ11" s="108">
        <v>41930</v>
      </c>
      <c r="BK11" s="109">
        <v>42056</v>
      </c>
      <c r="BL11" s="110">
        <v>41966</v>
      </c>
      <c r="BN11" s="194">
        <f t="shared" si="44"/>
        <v>5.0201040699999986</v>
      </c>
      <c r="BO11" s="18" t="str">
        <f t="shared" si="10"/>
        <v>Kortrijk</v>
      </c>
      <c r="BP11" s="19">
        <f t="shared" si="11"/>
        <v>51</v>
      </c>
      <c r="BQ11" s="19">
        <f t="shared" si="12"/>
        <v>30</v>
      </c>
      <c r="BR11" s="19">
        <f>CHOOSE(StandBer,COUNTIF(CC45:CR45,"t")+COUNTIF(CI39:CI54,"u")+COUNTIF(CT45:DI45,"t")+COUNTIF(CZ39:CZ54,"u"),COUNTIF(CC45:CR45,"t")+COUNTIF(CI39:CI54,"u"),COUNTIF(CT45:DI45,"t")+COUNTIF(CZ39:CZ54,"u"),COUNTIF(CC45:CR45,"t")+COUNTIF(CT45:DI45,"t"),COUNTIF(CI39:CI54,"u")+COUNTIF(CZ39:CZ54,"u"))</f>
        <v>16</v>
      </c>
      <c r="BS11" s="19">
        <f>CHOOSE(StandBer,COUNTIF(CC45:CR45,"u")+COUNTIF(CI39:CI54,"t")+COUNTIF(CT45:DI45,"u")+COUNTIF(CZ39:CZ54,"t"),COUNTIF(CC45:CR45,"u")+COUNTIF(CI39:CI54,"t"),COUNTIF(CT45:DI45,"u")+COUNTIF(CZ39:CZ54,"t"),COUNTIF(CC45:CR45,"u")+COUNTIF(CT45:DI45,"u"),COUNTIF(CI39:CI54,"t")+COUNTIF(CZ39:CZ54,"t"))+BX11</f>
        <v>11</v>
      </c>
      <c r="BT11" s="19">
        <f>CHOOSE(StandBer,COUNTIF(CC45:CR45,"g")+COUNTIF(CI39:CI54,"g")+COUNTIF(CT45:DI45,"g")+COUNTIF(CZ39:CZ54,"g"),COUNTIF(CC45:CR45,"g")+COUNTIF(CI39:CI54,"g"),COUNTIF(CT45:DI45,"g")+COUNTIF(CZ39:CZ54,"g"),COUNTIF(CC45:CR45,"g")+COUNTIF(CT45:DI45,"g"),COUNTIF(CI39:CI54,"g")+COUNTIF(CZ39:CZ54,"g"))</f>
        <v>3</v>
      </c>
      <c r="BU11" s="19">
        <f>CHOOSE(StandBer,SUM(CC11:CR11)+SUM(CI22:CI37)+SUM(CT11:DI11)+SUM(CZ22:CZ37),SUM(CC11:CR11)+SUM(CI22:CI37),SUM(CT11:DI11)+SUM(CZ22:CZ37),SUM(CC11:CR11)+SUM(CT11:DI11),SUM(CI22:CI37)+SUM(CZ22:CZ37))-5*BX11</f>
        <v>54</v>
      </c>
      <c r="BV11" s="19">
        <f>CHOOSE(StandBer,SUM(CI5:CI20)+SUM(CC28:CR28)+SUM(CZ5:CZ20)+SUM(CT28:DI28),SUM(CI5:CI20)+SUM(CC28:CR28),SUM(CZ5:CZ20)+SUM(CT28:DI28),SUM(CI5:CI20)+SUM(CZ5:CZ20),SUM(CC28:CR28)+SUM(CT28:DI28))</f>
        <v>35</v>
      </c>
      <c r="BW11" s="19">
        <f t="shared" si="13"/>
        <v>19</v>
      </c>
      <c r="BX11" s="19">
        <f>CHOOSE(StandBer,COUNTIF(CC45:CR45,"ff")+COUNTIF(CI39:CI54,"ff")+COUNTIF(CT45:DI45,"ff")+COUNTIF(CZ39:CZ54,"ff"),COUNTIF(CC45:CR45,"ff")+COUNTIF(CI39:CI54,"ff"),COUNTIF(CT45:DI45,"ff")+COUNTIF(CZ39:CZ54,"ff"),COUNTIF(CC45:CR45,"ff")+COUNTIF(CT45:DI45,"ff"),COUNTIF(CI39:CI54,"ff")+COUNTIF(CZ39:CZ54,"ff"))</f>
        <v>0</v>
      </c>
      <c r="BY11" s="19">
        <v>7</v>
      </c>
      <c r="BZ11" s="194">
        <f>SMALL(BN5:BN20,7)</f>
        <v>6.0701070499999998</v>
      </c>
      <c r="CB11" s="13"/>
      <c r="CC11" s="23">
        <f t="shared" si="45"/>
        <v>2</v>
      </c>
      <c r="CD11" s="24" t="str">
        <f t="shared" si="14"/>
        <v/>
      </c>
      <c r="CE11" s="24" t="str">
        <f t="shared" si="15"/>
        <v/>
      </c>
      <c r="CF11" s="24" t="str">
        <f t="shared" si="16"/>
        <v/>
      </c>
      <c r="CG11" s="24">
        <f t="shared" si="17"/>
        <v>1</v>
      </c>
      <c r="CH11" s="24" t="str">
        <f t="shared" si="18"/>
        <v/>
      </c>
      <c r="CI11" s="24"/>
      <c r="CJ11" s="24" t="str">
        <f t="shared" si="20"/>
        <v/>
      </c>
      <c r="CK11" s="24">
        <f t="shared" si="21"/>
        <v>1</v>
      </c>
      <c r="CL11" s="24">
        <f t="shared" si="22"/>
        <v>2</v>
      </c>
      <c r="CM11" s="24">
        <f t="shared" si="23"/>
        <v>3</v>
      </c>
      <c r="CN11" s="24">
        <f t="shared" si="24"/>
        <v>0</v>
      </c>
      <c r="CO11" s="24">
        <f t="shared" si="25"/>
        <v>2</v>
      </c>
      <c r="CP11" s="24">
        <f t="shared" si="26"/>
        <v>2</v>
      </c>
      <c r="CQ11" s="24" t="str">
        <f t="shared" si="27"/>
        <v/>
      </c>
      <c r="CR11" s="25" t="str">
        <f t="shared" si="28"/>
        <v/>
      </c>
      <c r="CS11" s="19"/>
      <c r="CT11" s="23" t="str">
        <f t="shared" si="46"/>
        <v/>
      </c>
      <c r="CU11" s="24">
        <f t="shared" si="29"/>
        <v>1</v>
      </c>
      <c r="CV11" s="24">
        <f t="shared" si="30"/>
        <v>0</v>
      </c>
      <c r="CW11" s="24">
        <f t="shared" si="31"/>
        <v>2</v>
      </c>
      <c r="CX11" s="24" t="str">
        <f t="shared" si="32"/>
        <v/>
      </c>
      <c r="CY11" s="24">
        <f t="shared" si="33"/>
        <v>2</v>
      </c>
      <c r="CZ11" s="24"/>
      <c r="DA11" s="24">
        <f t="shared" si="35"/>
        <v>3</v>
      </c>
      <c r="DB11" s="24" t="str">
        <f t="shared" si="36"/>
        <v/>
      </c>
      <c r="DC11" s="24" t="str">
        <f t="shared" si="37"/>
        <v/>
      </c>
      <c r="DD11" s="24" t="str">
        <f t="shared" si="38"/>
        <v/>
      </c>
      <c r="DE11" s="24" t="str">
        <f t="shared" si="39"/>
        <v/>
      </c>
      <c r="DF11" s="24" t="str">
        <f t="shared" si="40"/>
        <v/>
      </c>
      <c r="DG11" s="24" t="str">
        <f t="shared" si="41"/>
        <v/>
      </c>
      <c r="DH11" s="24">
        <f t="shared" si="42"/>
        <v>6</v>
      </c>
      <c r="DI11" s="25">
        <f t="shared" si="43"/>
        <v>3</v>
      </c>
    </row>
    <row r="12" spans="1:113" ht="15" customHeight="1" x14ac:dyDescent="0.3">
      <c r="A12" s="46"/>
      <c r="C12" s="39">
        <f>IF(RANK(E12,E5:E20,0)&gt;RANK(E11,E5:E20,0),RANK(E12,E5:E20,0),"")</f>
        <v>8</v>
      </c>
      <c r="D12" s="58" t="str">
        <f t="shared" si="0"/>
        <v>Lokeren</v>
      </c>
      <c r="E12" s="105">
        <f t="shared" si="1"/>
        <v>42</v>
      </c>
      <c r="F12" s="59">
        <f t="shared" si="2"/>
        <v>30</v>
      </c>
      <c r="G12" s="59" t="str">
        <f>REPT(IF(F12-MODE(F5:F20)&lt;0,"-","+"),ABS(F12-MODE(F5:F20)))</f>
        <v/>
      </c>
      <c r="H12" s="59">
        <f t="shared" si="3"/>
        <v>10</v>
      </c>
      <c r="I12" s="59">
        <f t="shared" si="4"/>
        <v>8</v>
      </c>
      <c r="J12" s="59">
        <f t="shared" si="5"/>
        <v>12</v>
      </c>
      <c r="K12" s="59">
        <f t="shared" si="6"/>
        <v>38</v>
      </c>
      <c r="L12" s="59">
        <f t="shared" si="7"/>
        <v>32</v>
      </c>
      <c r="M12" s="60">
        <f t="shared" si="8"/>
        <v>6</v>
      </c>
      <c r="N12" s="59">
        <f t="shared" si="9"/>
        <v>48</v>
      </c>
      <c r="P12" s="11" t="s">
        <v>46</v>
      </c>
      <c r="Q12" s="92" t="s">
        <v>50</v>
      </c>
      <c r="R12" s="49" t="s">
        <v>50</v>
      </c>
      <c r="S12" s="49" t="s">
        <v>51</v>
      </c>
      <c r="T12" s="49" t="s">
        <v>90</v>
      </c>
      <c r="U12" s="49" t="s">
        <v>90</v>
      </c>
      <c r="V12" s="49" t="s">
        <v>51</v>
      </c>
      <c r="W12" s="49" t="s">
        <v>108</v>
      </c>
      <c r="X12" s="35"/>
      <c r="Y12" s="162" t="s">
        <v>106</v>
      </c>
      <c r="Z12" s="49" t="s">
        <v>92</v>
      </c>
      <c r="AA12" s="49" t="s">
        <v>52</v>
      </c>
      <c r="AB12" s="49" t="s">
        <v>51</v>
      </c>
      <c r="AC12" s="49" t="s">
        <v>52</v>
      </c>
      <c r="AD12" s="49" t="s">
        <v>53</v>
      </c>
      <c r="AE12" s="64" t="s">
        <v>109</v>
      </c>
      <c r="AF12" s="107" t="s">
        <v>50</v>
      </c>
      <c r="AG12" s="95">
        <v>11</v>
      </c>
      <c r="AH12" s="52">
        <v>15</v>
      </c>
      <c r="AI12" s="52">
        <v>25</v>
      </c>
      <c r="AJ12" s="52">
        <v>5</v>
      </c>
      <c r="AK12" s="52">
        <v>1</v>
      </c>
      <c r="AL12" s="52">
        <v>19</v>
      </c>
      <c r="AM12" s="52">
        <v>3</v>
      </c>
      <c r="AN12" s="56"/>
      <c r="AO12" s="150">
        <v>27</v>
      </c>
      <c r="AP12" s="52">
        <v>23</v>
      </c>
      <c r="AQ12" s="52">
        <v>21</v>
      </c>
      <c r="AR12" s="52">
        <v>17</v>
      </c>
      <c r="AS12" s="52">
        <v>29</v>
      </c>
      <c r="AT12" s="52">
        <v>9</v>
      </c>
      <c r="AU12" s="52">
        <v>7</v>
      </c>
      <c r="AV12" s="53">
        <v>13</v>
      </c>
      <c r="AW12" s="102">
        <v>41930</v>
      </c>
      <c r="AX12" s="108">
        <v>41951</v>
      </c>
      <c r="AY12" s="108">
        <v>42042</v>
      </c>
      <c r="AZ12" s="108">
        <v>41875</v>
      </c>
      <c r="BA12" s="108">
        <v>41847</v>
      </c>
      <c r="BB12" s="108">
        <v>41985</v>
      </c>
      <c r="BC12" s="108">
        <v>41860</v>
      </c>
      <c r="BD12" s="15"/>
      <c r="BE12" s="155">
        <v>42056</v>
      </c>
      <c r="BF12" s="108">
        <v>42028</v>
      </c>
      <c r="BG12" s="108">
        <v>41999</v>
      </c>
      <c r="BH12" s="108">
        <v>41972</v>
      </c>
      <c r="BI12" s="108">
        <v>42070</v>
      </c>
      <c r="BJ12" s="108">
        <v>41909</v>
      </c>
      <c r="BK12" s="109">
        <v>41895</v>
      </c>
      <c r="BL12" s="110">
        <v>41940</v>
      </c>
      <c r="BN12" s="194">
        <f t="shared" si="44"/>
        <v>9.0901090799999995</v>
      </c>
      <c r="BO12" s="18" t="str">
        <f t="shared" si="10"/>
        <v>KV Mechelen</v>
      </c>
      <c r="BP12" s="19">
        <f t="shared" si="11"/>
        <v>41</v>
      </c>
      <c r="BQ12" s="19">
        <f t="shared" si="12"/>
        <v>30</v>
      </c>
      <c r="BR12" s="19">
        <f>CHOOSE(StandBer,COUNTIF(CC46:CR46,"t")+COUNTIF(CJ39:CJ54,"u")+COUNTIF(CT46:DI46,"t")+COUNTIF(DA39:DA54,"u"),COUNTIF(CC46:CR46,"t")+COUNTIF(CJ39:CJ54,"u"),COUNTIF(CT46:DI46,"t")+COUNTIF(DA39:DA54,"u"),COUNTIF(CC46:CR46,"t")+COUNTIF(CT46:DI46,"t"),COUNTIF(CJ39:CJ54,"u")+COUNTIF(DA39:DA54,"u"))</f>
        <v>10</v>
      </c>
      <c r="BS12" s="19">
        <f>CHOOSE(StandBer,COUNTIF(CC46:CR46,"u")+COUNTIF(CJ39:CJ54,"t")+COUNTIF(CT46:DI46,"u")+COUNTIF(DA39:DA54,"t"),COUNTIF(CC46:CR46,"u")+COUNTIF(CJ39:CJ54,"t"),COUNTIF(CT46:DI46,"u")+COUNTIF(DA39:DA54,"t"),COUNTIF(CC46:CR46,"u")+COUNTIF(CT46:DI46,"u"),COUNTIF(CJ39:CJ54,"t")+COUNTIF(DA39:DA54,"t"))+BX12</f>
        <v>9</v>
      </c>
      <c r="BT12" s="19">
        <f>CHOOSE(StandBer,COUNTIF(CC46:CR46,"g")+COUNTIF(CJ39:CJ54,"g")+COUNTIF(CT46:DI46,"g")+COUNTIF(DA39:DA54,"g"),COUNTIF(CC46:CR46,"g")+COUNTIF(CJ39:CJ54,"g"),COUNTIF(CT46:DI46,"g")+COUNTIF(DA39:DA54,"g"),COUNTIF(CC46:CR46,"g")+COUNTIF(CT46:DI46,"g"),COUNTIF(CJ39:CJ54,"g")+COUNTIF(DA39:DA54,"g"))</f>
        <v>11</v>
      </c>
      <c r="BU12" s="19">
        <f>CHOOSE(StandBer,SUM(CC12:CR12)+SUM(CJ22:CJ37)+SUM(CT12:DI12)+SUM(DA22:DA37),SUM(CC12:CR12)+SUM(CJ22:CJ37),SUM(CT12:DI12)+SUM(DA22:DA37),SUM(CC12:CR12)+SUM(CT12:DI12),SUM(CJ22:CJ37)+SUM(DA22:DA37))-5*BX12</f>
        <v>36</v>
      </c>
      <c r="BV12" s="19">
        <f>CHOOSE(StandBer,SUM(CJ5:CJ20)+SUM(CC29:CR29)+SUM(DA5:DA20)+SUM(CT29:DI29),SUM(CJ5:CJ20)+SUM(CC29:CR29),SUM(DA5:DA20)+SUM(CT29:DI29),SUM(CJ5:CJ20)+SUM(DA5:DA20),SUM(CC29:CR29)+SUM(CT29:DI29))</f>
        <v>38</v>
      </c>
      <c r="BW12" s="19">
        <f t="shared" si="13"/>
        <v>-2</v>
      </c>
      <c r="BX12" s="19">
        <f>CHOOSE(StandBer,COUNTIF(CC46:CR46,"ff")+COUNTIF(CJ39:CJ54,"ff")+COUNTIF(CT46:DI46,"ff")+COUNTIF(DA39:DA54,"ff"),COUNTIF(CC46:CR46,"ff")+COUNTIF(CJ39:CJ54,"ff"),COUNTIF(CT46:DI46,"ff")+COUNTIF(DA39:DA54,"ff"),COUNTIF(CC46:CR46,"ff")+COUNTIF(CT46:DI46,"ff"),COUNTIF(CJ39:CJ54,"ff")+COUNTIF(DA39:DA54,"ff"))</f>
        <v>0</v>
      </c>
      <c r="BY12" s="19">
        <v>8</v>
      </c>
      <c r="BZ12" s="194">
        <f>SMALL(BN5:BN20,8)</f>
        <v>8.0901080999999984</v>
      </c>
      <c r="CB12" s="13"/>
      <c r="CC12" s="23">
        <f t="shared" si="45"/>
        <v>1</v>
      </c>
      <c r="CD12" s="24">
        <f t="shared" si="14"/>
        <v>1</v>
      </c>
      <c r="CE12" s="24" t="str">
        <f t="shared" si="15"/>
        <v/>
      </c>
      <c r="CF12" s="24">
        <f t="shared" si="16"/>
        <v>3</v>
      </c>
      <c r="CG12" s="24">
        <f t="shared" si="17"/>
        <v>3</v>
      </c>
      <c r="CH12" s="24" t="str">
        <f t="shared" si="18"/>
        <v/>
      </c>
      <c r="CI12" s="24">
        <f t="shared" si="19"/>
        <v>1</v>
      </c>
      <c r="CJ12" s="24"/>
      <c r="CK12" s="24" t="str">
        <f t="shared" si="21"/>
        <v/>
      </c>
      <c r="CL12" s="24" t="str">
        <f t="shared" si="22"/>
        <v/>
      </c>
      <c r="CM12" s="24" t="str">
        <f t="shared" si="23"/>
        <v/>
      </c>
      <c r="CN12" s="24" t="str">
        <f t="shared" si="24"/>
        <v/>
      </c>
      <c r="CO12" s="24" t="str">
        <f t="shared" si="25"/>
        <v/>
      </c>
      <c r="CP12" s="24">
        <f t="shared" si="26"/>
        <v>2</v>
      </c>
      <c r="CQ12" s="24">
        <f t="shared" si="27"/>
        <v>5</v>
      </c>
      <c r="CR12" s="25">
        <f t="shared" si="28"/>
        <v>1</v>
      </c>
      <c r="CS12" s="19"/>
      <c r="CT12" s="23" t="str">
        <f t="shared" si="46"/>
        <v/>
      </c>
      <c r="CU12" s="24" t="str">
        <f t="shared" si="29"/>
        <v/>
      </c>
      <c r="CV12" s="24">
        <f t="shared" si="30"/>
        <v>0</v>
      </c>
      <c r="CW12" s="24" t="str">
        <f t="shared" si="31"/>
        <v/>
      </c>
      <c r="CX12" s="24" t="str">
        <f t="shared" si="32"/>
        <v/>
      </c>
      <c r="CY12" s="24">
        <f t="shared" si="33"/>
        <v>0</v>
      </c>
      <c r="CZ12" s="24" t="str">
        <f t="shared" si="34"/>
        <v/>
      </c>
      <c r="DA12" s="24"/>
      <c r="DB12" s="24">
        <f t="shared" si="36"/>
        <v>2</v>
      </c>
      <c r="DC12" s="24">
        <f t="shared" si="37"/>
        <v>0</v>
      </c>
      <c r="DD12" s="24">
        <f t="shared" si="38"/>
        <v>1</v>
      </c>
      <c r="DE12" s="24">
        <f t="shared" si="39"/>
        <v>0</v>
      </c>
      <c r="DF12" s="24">
        <f t="shared" si="40"/>
        <v>1</v>
      </c>
      <c r="DG12" s="24" t="str">
        <f t="shared" si="41"/>
        <v/>
      </c>
      <c r="DH12" s="24" t="str">
        <f t="shared" si="42"/>
        <v/>
      </c>
      <c r="DI12" s="25" t="str">
        <f t="shared" si="43"/>
        <v/>
      </c>
    </row>
    <row r="13" spans="1:113" ht="15" customHeight="1" x14ac:dyDescent="0.3">
      <c r="A13" s="46"/>
      <c r="C13" s="39">
        <f>IF(RANK(E13,E5:E20,0)&gt;RANK(E12,E5:E20,0),RANK(E13,E5:E20,0),"")</f>
        <v>9</v>
      </c>
      <c r="D13" s="58" t="str">
        <f t="shared" si="0"/>
        <v>KV Mechelen</v>
      </c>
      <c r="E13" s="105">
        <f t="shared" si="1"/>
        <v>41</v>
      </c>
      <c r="F13" s="59">
        <f t="shared" si="2"/>
        <v>30</v>
      </c>
      <c r="G13" s="59" t="str">
        <f>REPT(IF(F13-MODE(F5:F20)&lt;0,"-","+"),ABS(F13-MODE(F5:F20)))</f>
        <v/>
      </c>
      <c r="H13" s="59">
        <f t="shared" si="3"/>
        <v>10</v>
      </c>
      <c r="I13" s="59">
        <f t="shared" si="4"/>
        <v>9</v>
      </c>
      <c r="J13" s="59">
        <f t="shared" si="5"/>
        <v>11</v>
      </c>
      <c r="K13" s="59">
        <f t="shared" si="6"/>
        <v>36</v>
      </c>
      <c r="L13" s="59">
        <f t="shared" si="7"/>
        <v>38</v>
      </c>
      <c r="M13" s="60">
        <f t="shared" si="8"/>
        <v>-2</v>
      </c>
      <c r="N13" s="59">
        <f t="shared" si="9"/>
        <v>49</v>
      </c>
      <c r="P13" s="124" t="s">
        <v>35</v>
      </c>
      <c r="Q13" s="164" t="s">
        <v>107</v>
      </c>
      <c r="R13" s="162" t="s">
        <v>106</v>
      </c>
      <c r="S13" s="162" t="s">
        <v>85</v>
      </c>
      <c r="T13" s="162" t="s">
        <v>133</v>
      </c>
      <c r="U13" s="162" t="s">
        <v>85</v>
      </c>
      <c r="V13" s="162" t="s">
        <v>92</v>
      </c>
      <c r="W13" s="162" t="s">
        <v>51</v>
      </c>
      <c r="X13" s="162" t="s">
        <v>92</v>
      </c>
      <c r="Y13" s="35"/>
      <c r="Z13" s="162" t="s">
        <v>50</v>
      </c>
      <c r="AA13" s="162" t="s">
        <v>107</v>
      </c>
      <c r="AB13" s="162" t="s">
        <v>53</v>
      </c>
      <c r="AC13" s="162" t="s">
        <v>105</v>
      </c>
      <c r="AD13" s="162" t="s">
        <v>50</v>
      </c>
      <c r="AE13" s="163" t="s">
        <v>129</v>
      </c>
      <c r="AF13" s="147" t="s">
        <v>90</v>
      </c>
      <c r="AG13" s="149">
        <v>7</v>
      </c>
      <c r="AH13" s="150">
        <v>26</v>
      </c>
      <c r="AI13" s="150">
        <v>5</v>
      </c>
      <c r="AJ13" s="150">
        <v>21</v>
      </c>
      <c r="AK13" s="150">
        <v>28</v>
      </c>
      <c r="AL13" s="150">
        <v>14</v>
      </c>
      <c r="AM13" s="150">
        <v>30</v>
      </c>
      <c r="AN13" s="150">
        <v>12</v>
      </c>
      <c r="AO13" s="56"/>
      <c r="AP13" s="150">
        <v>17</v>
      </c>
      <c r="AQ13" s="150">
        <v>3</v>
      </c>
      <c r="AR13" s="150">
        <v>1</v>
      </c>
      <c r="AS13" s="150">
        <v>24</v>
      </c>
      <c r="AT13" s="150">
        <v>23</v>
      </c>
      <c r="AU13" s="150">
        <v>19</v>
      </c>
      <c r="AV13" s="151">
        <v>10</v>
      </c>
      <c r="AW13" s="154">
        <v>41895</v>
      </c>
      <c r="AX13" s="155">
        <v>42049</v>
      </c>
      <c r="AY13" s="155">
        <v>41874</v>
      </c>
      <c r="AZ13" s="155">
        <v>41999</v>
      </c>
      <c r="BA13" s="155">
        <v>42063</v>
      </c>
      <c r="BB13" s="155">
        <v>41945</v>
      </c>
      <c r="BC13" s="155">
        <v>42077</v>
      </c>
      <c r="BD13" s="155">
        <v>41936</v>
      </c>
      <c r="BE13" s="15"/>
      <c r="BF13" s="155">
        <v>41972</v>
      </c>
      <c r="BG13" s="155">
        <v>41860</v>
      </c>
      <c r="BH13" s="155">
        <v>41846</v>
      </c>
      <c r="BI13" s="155">
        <v>42035</v>
      </c>
      <c r="BJ13" s="155">
        <v>42028</v>
      </c>
      <c r="BK13" s="156">
        <v>41986</v>
      </c>
      <c r="BL13" s="157">
        <v>41916</v>
      </c>
      <c r="BN13" s="194">
        <f t="shared" si="44"/>
        <v>16.160116089999999</v>
      </c>
      <c r="BO13" s="18" t="str">
        <f t="shared" si="10"/>
        <v>Lierse</v>
      </c>
      <c r="BP13" s="19">
        <f t="shared" si="11"/>
        <v>22</v>
      </c>
      <c r="BQ13" s="19">
        <f t="shared" si="12"/>
        <v>30</v>
      </c>
      <c r="BR13" s="19">
        <f>CHOOSE(StandBer,COUNTIF(CC47:CR47,"t")+COUNTIF(CK39:CK54,"u")+COUNTIF(CT47:DI47,"t")+COUNTIF(DB39:DB54,"u"),COUNTIF(CC47:CR47,"t")+COUNTIF(CK39:CK54,"u"),COUNTIF(CT47:DI47,"t")+COUNTIF(DB39:DB54,"u"),COUNTIF(CC47:CR47,"t")+COUNTIF(CT47:DI47,"t"),COUNTIF(CK39:CK54,"u")+COUNTIF(DB39:DB54,"u"))</f>
        <v>5</v>
      </c>
      <c r="BS13" s="19">
        <f>CHOOSE(StandBer,COUNTIF(CC47:CR47,"u")+COUNTIF(CK39:CK54,"t")+COUNTIF(CT47:DI47,"u")+COUNTIF(DB39:DB54,"t"),COUNTIF(CC47:CR47,"u")+COUNTIF(CK39:CK54,"t"),COUNTIF(CT47:DI47,"u")+COUNTIF(DB39:DB54,"t"),COUNTIF(CC47:CR47,"u")+COUNTIF(CT47:DI47,"u"),COUNTIF(CK39:CK54,"t")+COUNTIF(DB39:DB54,"t"))+BX13</f>
        <v>18</v>
      </c>
      <c r="BT13" s="19">
        <f>CHOOSE(StandBer,COUNTIF(CC47:CR47,"g")+COUNTIF(CK39:CK54,"g")+COUNTIF(CT47:DI47,"g")+COUNTIF(DB39:DB54,"g"),COUNTIF(CC47:CR47,"g")+COUNTIF(CK39:CK54,"g"),COUNTIF(CT47:DI47,"g")+COUNTIF(DB39:DB54,"g"),COUNTIF(CC47:CR47,"g")+COUNTIF(CT47:DI47,"g"),COUNTIF(CK39:CK54,"g")+COUNTIF(DB39:DB54,"g"))</f>
        <v>7</v>
      </c>
      <c r="BU13" s="19">
        <f>CHOOSE(StandBer,SUM(CC13:CR13)+SUM(CK22:CK37)+SUM(CT13:DI13)+SUM(DB22:DB37),SUM(CC13:CR13)+SUM(CK22:CK37),SUM(CT13:DI13)+SUM(DB22:DB37),SUM(CC13:CR13)+SUM(CT13:DI13),SUM(CK22:CK37)+SUM(DB22:DB37))-5*BX13</f>
        <v>30</v>
      </c>
      <c r="BV13" s="19">
        <f>CHOOSE(StandBer,SUM(CK5:CK20)+SUM(CC30:CR30)+SUM(DB5:DB20)+SUM(CT30:DI30),SUM(CK5:CK20)+SUM(CC30:CR30),SUM(DB5:DB20)+SUM(CT30:DI30),SUM(CK5:CK20)+SUM(DB5:DB20),SUM(CC30:CR30)+SUM(CT30:DI30))</f>
        <v>63</v>
      </c>
      <c r="BW13" s="19">
        <f t="shared" si="13"/>
        <v>-33</v>
      </c>
      <c r="BX13" s="19">
        <f>CHOOSE(StandBer,COUNTIF(CC47:CR47,"ff")+COUNTIF(CK39:CK54,"ff")+COUNTIF(CT47:DI47,"ff")+COUNTIF(DB39:DB54,"ff"),COUNTIF(CC47:CR47,"ff")+COUNTIF(CK39:CK54,"ff"),COUNTIF(CT47:DI47,"ff")+COUNTIF(DB39:DB54,"ff"),COUNTIF(CC47:CR47,"ff")+COUNTIF(CT47:DI47,"ff"),COUNTIF(CK39:CK54,"ff")+COUNTIF(DB39:DB54,"ff"))</f>
        <v>0</v>
      </c>
      <c r="BY13" s="19">
        <v>9</v>
      </c>
      <c r="BZ13" s="194">
        <f>SMALL(BN5:BN20,9)</f>
        <v>9.0901090799999995</v>
      </c>
      <c r="CB13" s="13"/>
      <c r="CC13" s="23">
        <f t="shared" si="45"/>
        <v>2</v>
      </c>
      <c r="CD13" s="24" t="str">
        <f t="shared" si="14"/>
        <v/>
      </c>
      <c r="CE13" s="24">
        <f t="shared" si="15"/>
        <v>0</v>
      </c>
      <c r="CF13" s="24" t="str">
        <f t="shared" si="16"/>
        <v/>
      </c>
      <c r="CG13" s="24" t="str">
        <f t="shared" si="17"/>
        <v/>
      </c>
      <c r="CH13" s="24">
        <f t="shared" si="18"/>
        <v>0</v>
      </c>
      <c r="CI13" s="24" t="str">
        <f t="shared" si="19"/>
        <v/>
      </c>
      <c r="CJ13" s="24">
        <f t="shared" si="20"/>
        <v>0</v>
      </c>
      <c r="CK13" s="24"/>
      <c r="CL13" s="24" t="str">
        <f t="shared" si="22"/>
        <v/>
      </c>
      <c r="CM13" s="24">
        <f t="shared" si="23"/>
        <v>2</v>
      </c>
      <c r="CN13" s="24">
        <f t="shared" si="24"/>
        <v>2</v>
      </c>
      <c r="CO13" s="24" t="str">
        <f t="shared" si="25"/>
        <v/>
      </c>
      <c r="CP13" s="24" t="str">
        <f t="shared" si="26"/>
        <v/>
      </c>
      <c r="CQ13" s="24" t="str">
        <f t="shared" si="27"/>
        <v/>
      </c>
      <c r="CR13" s="25">
        <f t="shared" si="28"/>
        <v>3</v>
      </c>
      <c r="CS13" s="19"/>
      <c r="CT13" s="23" t="str">
        <f t="shared" si="46"/>
        <v/>
      </c>
      <c r="CU13" s="24">
        <f t="shared" si="29"/>
        <v>2</v>
      </c>
      <c r="CV13" s="24" t="str">
        <f t="shared" si="30"/>
        <v/>
      </c>
      <c r="CW13" s="24">
        <f t="shared" si="31"/>
        <v>0</v>
      </c>
      <c r="CX13" s="24">
        <f t="shared" si="32"/>
        <v>0</v>
      </c>
      <c r="CY13" s="24" t="str">
        <f t="shared" si="33"/>
        <v/>
      </c>
      <c r="CZ13" s="24">
        <f t="shared" si="34"/>
        <v>0</v>
      </c>
      <c r="DA13" s="24" t="str">
        <f t="shared" si="35"/>
        <v/>
      </c>
      <c r="DB13" s="24"/>
      <c r="DC13" s="24">
        <f t="shared" si="37"/>
        <v>1</v>
      </c>
      <c r="DD13" s="24" t="str">
        <f t="shared" si="38"/>
        <v/>
      </c>
      <c r="DE13" s="24" t="str">
        <f t="shared" si="39"/>
        <v/>
      </c>
      <c r="DF13" s="24">
        <f t="shared" si="40"/>
        <v>2</v>
      </c>
      <c r="DG13" s="24">
        <f t="shared" si="41"/>
        <v>1</v>
      </c>
      <c r="DH13" s="24">
        <f t="shared" si="42"/>
        <v>3</v>
      </c>
      <c r="DI13" s="25" t="str">
        <f t="shared" si="43"/>
        <v/>
      </c>
    </row>
    <row r="14" spans="1:113" ht="15" customHeight="1" x14ac:dyDescent="0.3">
      <c r="A14" s="46"/>
      <c r="C14" s="39">
        <f>IF(RANK(E14,E5:E20,0)&gt;RANK(E13,E5:E20,0),RANK(E14,E5:E20,0),"")</f>
        <v>10</v>
      </c>
      <c r="D14" s="58" t="str">
        <f t="shared" si="0"/>
        <v>Oostende</v>
      </c>
      <c r="E14" s="105">
        <f t="shared" si="1"/>
        <v>38</v>
      </c>
      <c r="F14" s="59">
        <f t="shared" si="2"/>
        <v>30</v>
      </c>
      <c r="G14" s="59" t="str">
        <f>REPT(IF(F14-MODE(F5:F20)&lt;0,"-","+"),ABS(F14-MODE(F5:F20)))</f>
        <v/>
      </c>
      <c r="H14" s="59">
        <f t="shared" si="3"/>
        <v>11</v>
      </c>
      <c r="I14" s="59">
        <f t="shared" si="4"/>
        <v>14</v>
      </c>
      <c r="J14" s="59">
        <f t="shared" si="5"/>
        <v>5</v>
      </c>
      <c r="K14" s="59">
        <f t="shared" si="6"/>
        <v>40</v>
      </c>
      <c r="L14" s="59">
        <f t="shared" si="7"/>
        <v>50</v>
      </c>
      <c r="M14" s="60">
        <f t="shared" si="8"/>
        <v>-10</v>
      </c>
      <c r="N14" s="59">
        <f t="shared" si="9"/>
        <v>52</v>
      </c>
      <c r="P14" s="11" t="s">
        <v>47</v>
      </c>
      <c r="Q14" s="92" t="s">
        <v>108</v>
      </c>
      <c r="R14" s="49" t="s">
        <v>51</v>
      </c>
      <c r="S14" s="49" t="s">
        <v>109</v>
      </c>
      <c r="T14" s="49" t="s">
        <v>116</v>
      </c>
      <c r="U14" s="49" t="s">
        <v>50</v>
      </c>
      <c r="V14" s="49" t="s">
        <v>129</v>
      </c>
      <c r="W14" s="49" t="s">
        <v>108</v>
      </c>
      <c r="X14" s="49" t="s">
        <v>110</v>
      </c>
      <c r="Y14" s="162" t="s">
        <v>53</v>
      </c>
      <c r="Z14" s="35"/>
      <c r="AA14" s="49" t="s">
        <v>52</v>
      </c>
      <c r="AB14" s="49" t="s">
        <v>90</v>
      </c>
      <c r="AC14" s="49" t="s">
        <v>50</v>
      </c>
      <c r="AD14" s="49" t="s">
        <v>86</v>
      </c>
      <c r="AE14" s="64" t="s">
        <v>51</v>
      </c>
      <c r="AF14" s="107" t="s">
        <v>106</v>
      </c>
      <c r="AG14" s="95">
        <v>29</v>
      </c>
      <c r="AH14" s="52">
        <v>18</v>
      </c>
      <c r="AI14" s="52">
        <v>13</v>
      </c>
      <c r="AJ14" s="52">
        <v>11</v>
      </c>
      <c r="AK14" s="52">
        <v>22</v>
      </c>
      <c r="AL14" s="52">
        <v>24</v>
      </c>
      <c r="AM14" s="52">
        <v>20</v>
      </c>
      <c r="AN14" s="52">
        <v>8</v>
      </c>
      <c r="AO14" s="150">
        <v>4</v>
      </c>
      <c r="AP14" s="56"/>
      <c r="AQ14" s="52">
        <v>27</v>
      </c>
      <c r="AR14" s="52">
        <v>10</v>
      </c>
      <c r="AS14" s="52">
        <v>6</v>
      </c>
      <c r="AT14" s="52">
        <v>15</v>
      </c>
      <c r="AU14" s="52">
        <v>16</v>
      </c>
      <c r="AV14" s="53">
        <v>2</v>
      </c>
      <c r="AW14" s="102">
        <v>42070</v>
      </c>
      <c r="AX14" s="108">
        <v>41979</v>
      </c>
      <c r="AY14" s="108">
        <v>41941</v>
      </c>
      <c r="AZ14" s="108">
        <v>41931</v>
      </c>
      <c r="BA14" s="108">
        <v>42022</v>
      </c>
      <c r="BB14" s="108">
        <v>42035</v>
      </c>
      <c r="BC14" s="108">
        <v>41994</v>
      </c>
      <c r="BD14" s="108">
        <v>41903</v>
      </c>
      <c r="BE14" s="155">
        <v>41867</v>
      </c>
      <c r="BF14" s="15"/>
      <c r="BG14" s="108">
        <v>42056</v>
      </c>
      <c r="BH14" s="108">
        <v>41917</v>
      </c>
      <c r="BI14" s="108">
        <v>41882</v>
      </c>
      <c r="BJ14" s="108">
        <v>41952</v>
      </c>
      <c r="BK14" s="109">
        <v>41965</v>
      </c>
      <c r="BL14" s="110">
        <v>41854</v>
      </c>
      <c r="BN14" s="194">
        <f t="shared" si="44"/>
        <v>8.0901080999999984</v>
      </c>
      <c r="BO14" s="18" t="str">
        <f t="shared" si="10"/>
        <v>Lokeren</v>
      </c>
      <c r="BP14" s="19">
        <f t="shared" si="11"/>
        <v>42</v>
      </c>
      <c r="BQ14" s="19">
        <f t="shared" si="12"/>
        <v>30</v>
      </c>
      <c r="BR14" s="19">
        <f>CHOOSE(StandBer,COUNTIF(CC48:CR48,"t")+COUNTIF(CL39:CL54,"u")+COUNTIF(CT48:DI48,"t")+COUNTIF(DC39:DC54,"u"),COUNTIF(CC48:CR48,"t")+COUNTIF(CL39:CL54,"u"),COUNTIF(CT48:DI48,"t")+COUNTIF(DC39:DC54,"u"),COUNTIF(CC48:CR48,"t")+COUNTIF(CT48:DI48,"t"),COUNTIF(CL39:CL54,"u")+COUNTIF(DC39:DC54,"u"))</f>
        <v>10</v>
      </c>
      <c r="BS14" s="19">
        <f>CHOOSE(StandBer,COUNTIF(CC48:CR48,"u")+COUNTIF(CL39:CL54,"t")+COUNTIF(CT48:DI48,"u")+COUNTIF(DC39:DC54,"t"),COUNTIF(CC48:CR48,"u")+COUNTIF(CL39:CL54,"t"),COUNTIF(CT48:DI48,"u")+COUNTIF(DC39:DC54,"t"),COUNTIF(CC48:CR48,"u")+COUNTIF(CT48:DI48,"u"),COUNTIF(CL39:CL54,"t")+COUNTIF(DC39:DC54,"t"))+BX14</f>
        <v>8</v>
      </c>
      <c r="BT14" s="19">
        <f>CHOOSE(StandBer,COUNTIF(CC48:CR48,"g")+COUNTIF(CL39:CL54,"g")+COUNTIF(CT48:DI48,"g")+COUNTIF(DC39:DC54,"g"),COUNTIF(CC48:CR48,"g")+COUNTIF(CL39:CL54,"g"),COUNTIF(CT48:DI48,"g")+COUNTIF(DC39:DC54,"g"),COUNTIF(CC48:CR48,"g")+COUNTIF(CT48:DI48,"g"),COUNTIF(CL39:CL54,"g")+COUNTIF(DC39:DC54,"g"))</f>
        <v>12</v>
      </c>
      <c r="BU14" s="19">
        <f>CHOOSE(StandBer,SUM(CC14:CR14)+SUM(CL22:CL37)+SUM(CT14:DI14)+SUM(DC22:DC37),SUM(CC14:CR14)+SUM(CL22:CL37),SUM(CT14:DI14)+SUM(DC22:DC37),SUM(CC14:CR14)+SUM(CT14:DI14),SUM(CL22:CL37)+SUM(DC22:DC37))-5*BX14</f>
        <v>38</v>
      </c>
      <c r="BV14" s="19">
        <f>CHOOSE(StandBer,SUM(CL5:CL20)+SUM(CC31:CR31)+SUM(DC5:DC20)+SUM(CT31:DI31),SUM(CL5:CL20)+SUM(CC31:CR31),SUM(DC5:DC20)+SUM(CT31:DI31),SUM(CL5:CL20)+SUM(DC5:DC20),SUM(CC31:CR31)+SUM(CT31:DI31))</f>
        <v>32</v>
      </c>
      <c r="BW14" s="19">
        <f t="shared" si="13"/>
        <v>6</v>
      </c>
      <c r="BX14" s="19">
        <f>CHOOSE(StandBer,COUNTIF(CC48:CR48,"ff")+COUNTIF(CL39:CL54,"ff")+COUNTIF(CT48:DI48,"ff")+COUNTIF(DC39:DC54,"ff"),COUNTIF(CC48:CR48,"ff")+COUNTIF(CL39:CL54,"ff"),COUNTIF(CT48:DI48,"ff")+COUNTIF(DC39:DC54,"ff"),COUNTIF(CC48:CR48,"ff")+COUNTIF(CT48:DI48,"ff"),COUNTIF(CL39:CL54,"ff")+COUNTIF(DC39:DC54,"ff"))</f>
        <v>0</v>
      </c>
      <c r="BY14" s="19">
        <v>10</v>
      </c>
      <c r="BZ14" s="194">
        <f>SMALL(BN5:BN20,10)</f>
        <v>10.080110119999999</v>
      </c>
      <c r="CB14" s="13"/>
      <c r="CC14" s="23" t="str">
        <f t="shared" si="45"/>
        <v/>
      </c>
      <c r="CD14" s="24" t="str">
        <f t="shared" si="14"/>
        <v/>
      </c>
      <c r="CE14" s="24">
        <f t="shared" si="15"/>
        <v>5</v>
      </c>
      <c r="CF14" s="24">
        <f t="shared" si="16"/>
        <v>1</v>
      </c>
      <c r="CG14" s="24" t="str">
        <f t="shared" si="17"/>
        <v/>
      </c>
      <c r="CH14" s="24" t="str">
        <f t="shared" si="18"/>
        <v/>
      </c>
      <c r="CI14" s="24" t="str">
        <f t="shared" si="19"/>
        <v/>
      </c>
      <c r="CJ14" s="24">
        <f t="shared" si="20"/>
        <v>3</v>
      </c>
      <c r="CK14" s="24">
        <f t="shared" si="21"/>
        <v>2</v>
      </c>
      <c r="CL14" s="24"/>
      <c r="CM14" s="24" t="str">
        <f t="shared" si="23"/>
        <v/>
      </c>
      <c r="CN14" s="24">
        <f t="shared" si="24"/>
        <v>3</v>
      </c>
      <c r="CO14" s="24">
        <f t="shared" si="25"/>
        <v>1</v>
      </c>
      <c r="CP14" s="24">
        <f t="shared" si="26"/>
        <v>3</v>
      </c>
      <c r="CQ14" s="24" t="str">
        <f t="shared" si="27"/>
        <v/>
      </c>
      <c r="CR14" s="25">
        <f t="shared" si="28"/>
        <v>2</v>
      </c>
      <c r="CS14" s="19"/>
      <c r="CT14" s="23">
        <f t="shared" si="46"/>
        <v>1</v>
      </c>
      <c r="CU14" s="24">
        <f t="shared" si="29"/>
        <v>0</v>
      </c>
      <c r="CV14" s="24" t="str">
        <f t="shared" si="30"/>
        <v/>
      </c>
      <c r="CW14" s="24" t="str">
        <f t="shared" si="31"/>
        <v/>
      </c>
      <c r="CX14" s="24">
        <f t="shared" si="32"/>
        <v>1</v>
      </c>
      <c r="CY14" s="24">
        <f t="shared" si="33"/>
        <v>3</v>
      </c>
      <c r="CZ14" s="24">
        <f t="shared" si="34"/>
        <v>1</v>
      </c>
      <c r="DA14" s="24" t="str">
        <f t="shared" si="35"/>
        <v/>
      </c>
      <c r="DB14" s="24" t="str">
        <f t="shared" si="36"/>
        <v/>
      </c>
      <c r="DC14" s="24"/>
      <c r="DD14" s="24">
        <f t="shared" si="38"/>
        <v>1</v>
      </c>
      <c r="DE14" s="24" t="str">
        <f t="shared" si="39"/>
        <v/>
      </c>
      <c r="DF14" s="24" t="str">
        <f t="shared" si="40"/>
        <v/>
      </c>
      <c r="DG14" s="24" t="str">
        <f t="shared" si="41"/>
        <v/>
      </c>
      <c r="DH14" s="24">
        <f t="shared" si="42"/>
        <v>0</v>
      </c>
      <c r="DI14" s="25" t="str">
        <f t="shared" si="43"/>
        <v/>
      </c>
    </row>
    <row r="15" spans="1:113" ht="15" customHeight="1" x14ac:dyDescent="0.3">
      <c r="A15" s="46"/>
      <c r="C15" s="39">
        <f>IF(RANK(E15,E5:E20,0)&gt;RANK(E14,E5:E20,0),RANK(E15,E5:E20,0),"")</f>
        <v>11</v>
      </c>
      <c r="D15" s="58" t="str">
        <f t="shared" si="0"/>
        <v>Westerlo</v>
      </c>
      <c r="E15" s="105">
        <f t="shared" si="1"/>
        <v>33</v>
      </c>
      <c r="F15" s="59">
        <f t="shared" si="2"/>
        <v>30</v>
      </c>
      <c r="G15" s="59" t="str">
        <f>REPT(IF(F15-MODE(F5:F20)&lt;0,"-","+"),ABS(F15-MODE(F5:F20)))</f>
        <v/>
      </c>
      <c r="H15" s="59">
        <f t="shared" si="3"/>
        <v>8</v>
      </c>
      <c r="I15" s="59">
        <f t="shared" si="4"/>
        <v>13</v>
      </c>
      <c r="J15" s="59">
        <f t="shared" si="5"/>
        <v>9</v>
      </c>
      <c r="K15" s="59">
        <f t="shared" si="6"/>
        <v>40</v>
      </c>
      <c r="L15" s="59">
        <f t="shared" si="7"/>
        <v>63</v>
      </c>
      <c r="M15" s="60">
        <f t="shared" si="8"/>
        <v>-23</v>
      </c>
      <c r="N15" s="59">
        <f t="shared" si="9"/>
        <v>57</v>
      </c>
      <c r="P15" s="11" t="s">
        <v>97</v>
      </c>
      <c r="Q15" s="92" t="s">
        <v>126</v>
      </c>
      <c r="R15" s="49" t="s">
        <v>111</v>
      </c>
      <c r="S15" s="49" t="s">
        <v>85</v>
      </c>
      <c r="T15" s="49" t="s">
        <v>112</v>
      </c>
      <c r="U15" s="49" t="s">
        <v>108</v>
      </c>
      <c r="V15" s="49" t="s">
        <v>116</v>
      </c>
      <c r="W15" s="49" t="s">
        <v>135</v>
      </c>
      <c r="X15" s="49" t="s">
        <v>51</v>
      </c>
      <c r="Y15" s="162" t="s">
        <v>106</v>
      </c>
      <c r="Z15" s="49" t="s">
        <v>107</v>
      </c>
      <c r="AA15" s="35"/>
      <c r="AB15" s="49" t="s">
        <v>92</v>
      </c>
      <c r="AC15" s="49" t="s">
        <v>109</v>
      </c>
      <c r="AD15" s="49" t="s">
        <v>52</v>
      </c>
      <c r="AE15" s="64" t="s">
        <v>52</v>
      </c>
      <c r="AF15" s="107" t="s">
        <v>92</v>
      </c>
      <c r="AG15" s="95">
        <v>18</v>
      </c>
      <c r="AH15" s="52">
        <v>6</v>
      </c>
      <c r="AI15" s="52">
        <v>15</v>
      </c>
      <c r="AJ15" s="52">
        <v>13</v>
      </c>
      <c r="AK15" s="52">
        <v>8</v>
      </c>
      <c r="AL15" s="52">
        <v>22</v>
      </c>
      <c r="AM15" s="52">
        <v>24</v>
      </c>
      <c r="AN15" s="52">
        <v>10</v>
      </c>
      <c r="AO15" s="150">
        <v>16</v>
      </c>
      <c r="AP15" s="52">
        <v>12</v>
      </c>
      <c r="AQ15" s="56"/>
      <c r="AR15" s="52">
        <v>26</v>
      </c>
      <c r="AS15" s="52">
        <v>4</v>
      </c>
      <c r="AT15" s="52">
        <v>2</v>
      </c>
      <c r="AU15" s="52">
        <v>29</v>
      </c>
      <c r="AV15" s="53">
        <v>20</v>
      </c>
      <c r="AW15" s="102">
        <v>41979</v>
      </c>
      <c r="AX15" s="108">
        <v>41881</v>
      </c>
      <c r="AY15" s="108">
        <v>41951</v>
      </c>
      <c r="AZ15" s="108">
        <v>41942</v>
      </c>
      <c r="BA15" s="108">
        <v>41902</v>
      </c>
      <c r="BB15" s="108">
        <v>42021</v>
      </c>
      <c r="BC15" s="108">
        <v>42035</v>
      </c>
      <c r="BD15" s="108">
        <v>41916</v>
      </c>
      <c r="BE15" s="155">
        <v>41965</v>
      </c>
      <c r="BF15" s="108">
        <v>41938</v>
      </c>
      <c r="BG15" s="15"/>
      <c r="BH15" s="108">
        <v>42049</v>
      </c>
      <c r="BI15" s="108">
        <v>41866</v>
      </c>
      <c r="BJ15" s="108">
        <v>41853</v>
      </c>
      <c r="BK15" s="109">
        <v>42070</v>
      </c>
      <c r="BL15" s="110">
        <v>41993</v>
      </c>
      <c r="BN15" s="194">
        <f t="shared" si="44"/>
        <v>13.130112110000001</v>
      </c>
      <c r="BO15" s="18" t="str">
        <f t="shared" si="10"/>
        <v>Moeskroen-Peruwelz</v>
      </c>
      <c r="BP15" s="19">
        <f t="shared" si="11"/>
        <v>26</v>
      </c>
      <c r="BQ15" s="19">
        <f t="shared" si="12"/>
        <v>30</v>
      </c>
      <c r="BR15" s="19">
        <f>CHOOSE(StandBer,COUNTIF(CC49:CR49,"t")+COUNTIF(CM39:CM54,"u")+COUNTIF(CT49:DI49,"t")+COUNTIF(DD39:DD54,"u"),COUNTIF(CC49:CR49,"t")+COUNTIF(CM39:CM54,"u"),COUNTIF(CT49:DI49,"t")+COUNTIF(DD39:DD54,"u"),COUNTIF(CC49:CR49,"t")+COUNTIF(CT49:DI49,"t"),COUNTIF(CM39:CM54,"u")+COUNTIF(DD39:DD54,"u"))</f>
        <v>7</v>
      </c>
      <c r="BS15" s="19">
        <f>CHOOSE(StandBer,COUNTIF(CC49:CR49,"u")+COUNTIF(CM39:CM54,"t")+COUNTIF(CT49:DI49,"u")+COUNTIF(DD39:DD54,"t"),COUNTIF(CC49:CR49,"u")+COUNTIF(CM39:CM54,"t"),COUNTIF(CT49:DI49,"u")+COUNTIF(DD39:DD54,"t"),COUNTIF(CC49:CR49,"u")+COUNTIF(CT49:DI49,"u"),COUNTIF(CM39:CM54,"t")+COUNTIF(DD39:DD54,"t"))+BX15</f>
        <v>18</v>
      </c>
      <c r="BT15" s="19">
        <f>CHOOSE(StandBer,COUNTIF(CC49:CR49,"g")+COUNTIF(CM39:CM54,"g")+COUNTIF(CT49:DI49,"g")+COUNTIF(DD39:DD54,"g"),COUNTIF(CC49:CR49,"g")+COUNTIF(CM39:CM54,"g"),COUNTIF(CT49:DI49,"g")+COUNTIF(DD39:DD54,"g"),COUNTIF(CC49:CR49,"g")+COUNTIF(CT49:DI49,"g"),COUNTIF(CM39:CM54,"g")+COUNTIF(DD39:DD54,"g"))</f>
        <v>5</v>
      </c>
      <c r="BU15" s="19">
        <f>CHOOSE(StandBer,SUM(CC15:CR15)+SUM(CM22:CM37)+SUM(CT15:DI15)+SUM(DD22:DD37),SUM(CC15:CR15)+SUM(CM22:CM37),SUM(CT15:DI15)+SUM(DD22:DD37),SUM(CC15:CR15)+SUM(CT15:DI15),SUM(CM22:CM37)+SUM(DD22:DD37))-5*BX15</f>
        <v>31</v>
      </c>
      <c r="BV15" s="19">
        <f>CHOOSE(StandBer,SUM(CM5:CM20)+SUM(CC32:CR32)+SUM(DD5:DD20)+SUM(CT32:DI32),SUM(CM5:CM20)+SUM(CC32:CR32),SUM(DD5:DD20)+SUM(CT32:DI32),SUM(CM5:CM20)+SUM(DD5:DD20),SUM(CC32:CR32)+SUM(CT32:DI32))</f>
        <v>50</v>
      </c>
      <c r="BW15" s="19">
        <f t="shared" si="13"/>
        <v>-19</v>
      </c>
      <c r="BX15" s="19">
        <f>CHOOSE(StandBer,COUNTIF(CC49:CR49,"ff")+COUNTIF(CM39:CM54,"ff")+COUNTIF(CT49:DI49,"ff")+COUNTIF(DD39:DD54,"ff"),COUNTIF(CC49:CR49,"ff")+COUNTIF(CM39:CM54,"ff"),COUNTIF(CT49:DI49,"ff")+COUNTIF(DD39:DD54,"ff"),COUNTIF(CC49:CR49,"ff")+COUNTIF(CT49:DI49,"ff"),COUNTIF(CM39:CM54,"ff")+COUNTIF(DD39:DD54,"ff"))</f>
        <v>0</v>
      </c>
      <c r="BY15" s="19">
        <v>11</v>
      </c>
      <c r="BZ15" s="194">
        <f>SMALL(BN5:BN20,11)</f>
        <v>11.110114149999999</v>
      </c>
      <c r="CB15" s="13"/>
      <c r="CC15" s="23" t="str">
        <f t="shared" si="45"/>
        <v/>
      </c>
      <c r="CD15" s="24">
        <f t="shared" si="14"/>
        <v>4</v>
      </c>
      <c r="CE15" s="24">
        <f t="shared" si="15"/>
        <v>0</v>
      </c>
      <c r="CF15" s="24">
        <f t="shared" si="16"/>
        <v>1</v>
      </c>
      <c r="CG15" s="24">
        <f t="shared" si="17"/>
        <v>1</v>
      </c>
      <c r="CH15" s="24" t="str">
        <f t="shared" si="18"/>
        <v/>
      </c>
      <c r="CI15" s="24" t="str">
        <f t="shared" si="19"/>
        <v/>
      </c>
      <c r="CJ15" s="24">
        <f t="shared" si="20"/>
        <v>0</v>
      </c>
      <c r="CK15" s="24" t="str">
        <f t="shared" si="21"/>
        <v/>
      </c>
      <c r="CL15" s="24">
        <f t="shared" si="22"/>
        <v>2</v>
      </c>
      <c r="CM15" s="24"/>
      <c r="CN15" s="24" t="str">
        <f t="shared" si="24"/>
        <v/>
      </c>
      <c r="CO15" s="24">
        <f t="shared" si="25"/>
        <v>5</v>
      </c>
      <c r="CP15" s="24">
        <f t="shared" si="26"/>
        <v>1</v>
      </c>
      <c r="CQ15" s="24" t="str">
        <f t="shared" si="27"/>
        <v/>
      </c>
      <c r="CR15" s="25" t="str">
        <f t="shared" si="28"/>
        <v/>
      </c>
      <c r="CS15" s="19"/>
      <c r="CT15" s="23">
        <f t="shared" si="46"/>
        <v>4</v>
      </c>
      <c r="CU15" s="24" t="str">
        <f t="shared" si="29"/>
        <v/>
      </c>
      <c r="CV15" s="24" t="str">
        <f t="shared" si="30"/>
        <v/>
      </c>
      <c r="CW15" s="24" t="str">
        <f t="shared" si="31"/>
        <v/>
      </c>
      <c r="CX15" s="24" t="str">
        <f t="shared" si="32"/>
        <v/>
      </c>
      <c r="CY15" s="24">
        <f t="shared" si="33"/>
        <v>1</v>
      </c>
      <c r="CZ15" s="24">
        <f t="shared" si="34"/>
        <v>0</v>
      </c>
      <c r="DA15" s="24" t="str">
        <f t="shared" si="35"/>
        <v/>
      </c>
      <c r="DB15" s="24">
        <f t="shared" si="36"/>
        <v>2</v>
      </c>
      <c r="DC15" s="24" t="str">
        <f t="shared" si="37"/>
        <v/>
      </c>
      <c r="DD15" s="24"/>
      <c r="DE15" s="24">
        <f t="shared" si="39"/>
        <v>0</v>
      </c>
      <c r="DF15" s="24" t="str">
        <f t="shared" si="40"/>
        <v/>
      </c>
      <c r="DG15" s="24" t="str">
        <f t="shared" si="41"/>
        <v/>
      </c>
      <c r="DH15" s="24">
        <f t="shared" si="42"/>
        <v>1</v>
      </c>
      <c r="DI15" s="25">
        <f t="shared" si="43"/>
        <v>0</v>
      </c>
    </row>
    <row r="16" spans="1:113" ht="15" customHeight="1" x14ac:dyDescent="0.3">
      <c r="A16" s="46"/>
      <c r="C16" s="39">
        <f>IF(RANK(E16,E5:E20,0)&gt;RANK(E15,E5:E20,0),RANK(E16,E5:E20,0),"")</f>
        <v>12</v>
      </c>
      <c r="D16" s="58" t="str">
        <f t="shared" si="0"/>
        <v>Zulte-Waregem</v>
      </c>
      <c r="E16" s="105">
        <f t="shared" si="1"/>
        <v>31</v>
      </c>
      <c r="F16" s="59">
        <f t="shared" si="2"/>
        <v>30</v>
      </c>
      <c r="G16" s="59" t="str">
        <f>REPT(IF(F16-MODE(F5:F20)&lt;0,"-","+"),ABS(F16-MODE(F5:F20)))</f>
        <v/>
      </c>
      <c r="H16" s="59">
        <f t="shared" si="3"/>
        <v>8</v>
      </c>
      <c r="I16" s="59">
        <f t="shared" si="4"/>
        <v>15</v>
      </c>
      <c r="J16" s="59">
        <f t="shared" si="5"/>
        <v>7</v>
      </c>
      <c r="K16" s="59">
        <f t="shared" si="6"/>
        <v>41</v>
      </c>
      <c r="L16" s="59">
        <f t="shared" si="7"/>
        <v>54</v>
      </c>
      <c r="M16" s="60">
        <f t="shared" si="8"/>
        <v>-13</v>
      </c>
      <c r="N16" s="59">
        <f t="shared" si="9"/>
        <v>59</v>
      </c>
      <c r="P16" s="11" t="s">
        <v>87</v>
      </c>
      <c r="Q16" s="92" t="s">
        <v>85</v>
      </c>
      <c r="R16" s="49" t="s">
        <v>53</v>
      </c>
      <c r="S16" s="49" t="s">
        <v>116</v>
      </c>
      <c r="T16" s="49" t="s">
        <v>107</v>
      </c>
      <c r="U16" s="49" t="s">
        <v>50</v>
      </c>
      <c r="V16" s="49" t="s">
        <v>116</v>
      </c>
      <c r="W16" s="49" t="s">
        <v>134</v>
      </c>
      <c r="X16" s="49" t="s">
        <v>53</v>
      </c>
      <c r="Y16" s="162" t="s">
        <v>106</v>
      </c>
      <c r="Z16" s="49" t="s">
        <v>92</v>
      </c>
      <c r="AA16" s="49" t="s">
        <v>51</v>
      </c>
      <c r="AB16" s="35"/>
      <c r="AC16" s="49" t="s">
        <v>110</v>
      </c>
      <c r="AD16" s="49" t="s">
        <v>140</v>
      </c>
      <c r="AE16" s="64" t="s">
        <v>111</v>
      </c>
      <c r="AF16" s="107" t="s">
        <v>116</v>
      </c>
      <c r="AG16" s="95">
        <v>2</v>
      </c>
      <c r="AH16" s="52">
        <v>20</v>
      </c>
      <c r="AI16" s="52">
        <v>27</v>
      </c>
      <c r="AJ16" s="52">
        <v>9</v>
      </c>
      <c r="AK16" s="52">
        <v>6</v>
      </c>
      <c r="AL16" s="52">
        <v>8</v>
      </c>
      <c r="AM16" s="52">
        <v>22</v>
      </c>
      <c r="AN16" s="52">
        <v>4</v>
      </c>
      <c r="AO16" s="150">
        <v>18</v>
      </c>
      <c r="AP16" s="52">
        <v>25</v>
      </c>
      <c r="AQ16" s="52">
        <v>11</v>
      </c>
      <c r="AR16" s="56"/>
      <c r="AS16" s="52">
        <v>16</v>
      </c>
      <c r="AT16" s="52">
        <v>29</v>
      </c>
      <c r="AU16" s="52">
        <v>13</v>
      </c>
      <c r="AV16" s="53">
        <v>15</v>
      </c>
      <c r="AW16" s="102">
        <v>41852</v>
      </c>
      <c r="AX16" s="108">
        <v>41993</v>
      </c>
      <c r="AY16" s="108">
        <v>42056</v>
      </c>
      <c r="AZ16" s="108">
        <v>41910</v>
      </c>
      <c r="BA16" s="108">
        <v>41881</v>
      </c>
      <c r="BB16" s="108">
        <v>41902</v>
      </c>
      <c r="BC16" s="108">
        <v>42021</v>
      </c>
      <c r="BD16" s="108">
        <v>41867</v>
      </c>
      <c r="BE16" s="155">
        <v>41979</v>
      </c>
      <c r="BF16" s="108">
        <v>42042</v>
      </c>
      <c r="BG16" s="108">
        <v>41930</v>
      </c>
      <c r="BH16" s="15"/>
      <c r="BI16" s="108">
        <v>41966</v>
      </c>
      <c r="BJ16" s="108">
        <v>42070</v>
      </c>
      <c r="BK16" s="109">
        <v>41941</v>
      </c>
      <c r="BL16" s="110">
        <v>41950</v>
      </c>
      <c r="BN16" s="194">
        <f t="shared" si="44"/>
        <v>10.080110119999999</v>
      </c>
      <c r="BO16" s="18" t="str">
        <f t="shared" si="10"/>
        <v>Oostende</v>
      </c>
      <c r="BP16" s="19">
        <f t="shared" si="11"/>
        <v>38</v>
      </c>
      <c r="BQ16" s="19">
        <f t="shared" si="12"/>
        <v>30</v>
      </c>
      <c r="BR16" s="19">
        <f>CHOOSE(StandBer,COUNTIF(CC50:CR50,"t")+COUNTIF(CN39:CN54,"u")+COUNTIF(CT50:DI50,"t")+COUNTIF(DE39:DE54,"u"),COUNTIF(CC50:CR50,"t")+COUNTIF(CN39:CN54,"u"),COUNTIF(CT50:DI50,"t")+COUNTIF(DE39:DE54,"u"),COUNTIF(CC50:CR50,"t")+COUNTIF(CT50:DI50,"t"),COUNTIF(CN39:CN54,"u")+COUNTIF(DE39:DE54,"u"))</f>
        <v>11</v>
      </c>
      <c r="BS16" s="19">
        <f>CHOOSE(StandBer,COUNTIF(CC50:CR50,"u")+COUNTIF(CN39:CN54,"t")+COUNTIF(CT50:DI50,"u")+COUNTIF(DE39:DE54,"t"),COUNTIF(CC50:CR50,"u")+COUNTIF(CN39:CN54,"t"),COUNTIF(CT50:DI50,"u")+COUNTIF(DE39:DE54,"t"),COUNTIF(CC50:CR50,"u")+COUNTIF(CT50:DI50,"u"),COUNTIF(CN39:CN54,"t")+COUNTIF(DE39:DE54,"t"))+BX16</f>
        <v>14</v>
      </c>
      <c r="BT16" s="19">
        <f>CHOOSE(StandBer,COUNTIF(CC50:CR50,"g")+COUNTIF(CN39:CN54,"g")+COUNTIF(CT50:DI50,"g")+COUNTIF(DE39:DE54,"g"),COUNTIF(CC50:CR50,"g")+COUNTIF(CN39:CN54,"g"),COUNTIF(CT50:DI50,"g")+COUNTIF(DE39:DE54,"g"),COUNTIF(CC50:CR50,"g")+COUNTIF(CT50:DI50,"g"),COUNTIF(CN39:CN54,"g")+COUNTIF(DE39:DE54,"g"))</f>
        <v>5</v>
      </c>
      <c r="BU16" s="19">
        <f>CHOOSE(StandBer,SUM(CC16:CR16)+SUM(CN22:CN37)+SUM(CT16:DI16)+SUM(DE22:DE37),SUM(CC16:CR16)+SUM(CN22:CN37),SUM(CT16:DI16)+SUM(DE22:DE37),SUM(CC16:CR16)+SUM(CT16:DI16),SUM(CN22:CN37)+SUM(DE22:DE37))-5*BX16</f>
        <v>40</v>
      </c>
      <c r="BV16" s="19">
        <f>CHOOSE(StandBer,SUM(CN5:CN20)+SUM(CC33:CR33)+SUM(DE5:DE20)+SUM(CT33:DI33),SUM(CN5:CN20)+SUM(CC33:CR33),SUM(DE5:DE20)+SUM(CT33:DI33),SUM(CN5:CN20)+SUM(DE5:DE20),SUM(CC33:CR33)+SUM(CT33:DI33))</f>
        <v>50</v>
      </c>
      <c r="BW16" s="19">
        <f t="shared" si="13"/>
        <v>-10</v>
      </c>
      <c r="BX16" s="19">
        <f>CHOOSE(StandBer,COUNTIF(CC50:CR50,"ff")+COUNTIF(CN39:CN54,"ff")+COUNTIF(CT50:DI50,"ff")+COUNTIF(DE39:DE54,"ff"),COUNTIF(CC50:CR50,"ff")+COUNTIF(CN39:CN54,"ff"),COUNTIF(CT50:DI50,"ff")+COUNTIF(DE39:DE54,"ff"),COUNTIF(CC50:CR50,"ff")+COUNTIF(CT50:DI50,"ff"),COUNTIF(CN39:CN54,"ff")+COUNTIF(DE39:DE54,"ff"))</f>
        <v>0</v>
      </c>
      <c r="BY16" s="19">
        <v>12</v>
      </c>
      <c r="BZ16" s="194">
        <f>SMALL(BN5:BN20,12)</f>
        <v>12.110111160000001</v>
      </c>
      <c r="CB16" s="13"/>
      <c r="CC16" s="23">
        <f t="shared" si="45"/>
        <v>0</v>
      </c>
      <c r="CD16" s="24" t="str">
        <f t="shared" si="14"/>
        <v/>
      </c>
      <c r="CE16" s="24" t="str">
        <f t="shared" si="15"/>
        <v/>
      </c>
      <c r="CF16" s="24">
        <f t="shared" si="16"/>
        <v>2</v>
      </c>
      <c r="CG16" s="24">
        <f t="shared" si="17"/>
        <v>1</v>
      </c>
      <c r="CH16" s="24">
        <f t="shared" si="18"/>
        <v>1</v>
      </c>
      <c r="CI16" s="24" t="str">
        <f t="shared" si="19"/>
        <v/>
      </c>
      <c r="CJ16" s="24">
        <f t="shared" si="20"/>
        <v>2</v>
      </c>
      <c r="CK16" s="24" t="str">
        <f t="shared" si="21"/>
        <v/>
      </c>
      <c r="CL16" s="24" t="str">
        <f t="shared" si="22"/>
        <v/>
      </c>
      <c r="CM16" s="24">
        <f t="shared" si="23"/>
        <v>0</v>
      </c>
      <c r="CN16" s="24"/>
      <c r="CO16" s="24" t="str">
        <f t="shared" si="25"/>
        <v/>
      </c>
      <c r="CP16" s="24" t="str">
        <f t="shared" si="26"/>
        <v/>
      </c>
      <c r="CQ16" s="24">
        <f t="shared" si="27"/>
        <v>4</v>
      </c>
      <c r="CR16" s="25">
        <f t="shared" si="28"/>
        <v>1</v>
      </c>
      <c r="CS16" s="19"/>
      <c r="CT16" s="23" t="str">
        <f t="shared" si="46"/>
        <v/>
      </c>
      <c r="CU16" s="24">
        <f t="shared" si="29"/>
        <v>2</v>
      </c>
      <c r="CV16" s="24">
        <f t="shared" si="30"/>
        <v>1</v>
      </c>
      <c r="CW16" s="24" t="str">
        <f t="shared" si="31"/>
        <v/>
      </c>
      <c r="CX16" s="24" t="str">
        <f t="shared" si="32"/>
        <v/>
      </c>
      <c r="CY16" s="24" t="str">
        <f t="shared" si="33"/>
        <v/>
      </c>
      <c r="CZ16" s="24">
        <f t="shared" si="34"/>
        <v>1</v>
      </c>
      <c r="DA16" s="24" t="str">
        <f t="shared" si="35"/>
        <v/>
      </c>
      <c r="DB16" s="24">
        <f t="shared" si="36"/>
        <v>2</v>
      </c>
      <c r="DC16" s="24">
        <f t="shared" si="37"/>
        <v>0</v>
      </c>
      <c r="DD16" s="24" t="str">
        <f t="shared" si="38"/>
        <v/>
      </c>
      <c r="DE16" s="24"/>
      <c r="DF16" s="24">
        <f t="shared" si="40"/>
        <v>3</v>
      </c>
      <c r="DG16" s="24">
        <f t="shared" si="41"/>
        <v>4</v>
      </c>
      <c r="DH16" s="24" t="str">
        <f t="shared" si="42"/>
        <v/>
      </c>
      <c r="DI16" s="25" t="str">
        <f t="shared" si="43"/>
        <v/>
      </c>
    </row>
    <row r="17" spans="1:113" ht="15" customHeight="1" x14ac:dyDescent="0.3">
      <c r="A17" s="46"/>
      <c r="C17" s="39">
        <f>IF(RANK(E17,E5:E20,0)&gt;RANK(E16,E5:E20,0),RANK(E17,E5:E20,0),"")</f>
        <v>13</v>
      </c>
      <c r="D17" s="58" t="str">
        <f t="shared" si="0"/>
        <v>Moeskroen-Peruwelz</v>
      </c>
      <c r="E17" s="105">
        <f t="shared" si="1"/>
        <v>26</v>
      </c>
      <c r="F17" s="59">
        <f t="shared" si="2"/>
        <v>30</v>
      </c>
      <c r="G17" s="59" t="str">
        <f>REPT(IF(F17-MODE(F5:F20)&lt;0,"-","+"),ABS(F17-MODE(F5:F20)))</f>
        <v/>
      </c>
      <c r="H17" s="59">
        <f t="shared" si="3"/>
        <v>7</v>
      </c>
      <c r="I17" s="59">
        <f t="shared" si="4"/>
        <v>18</v>
      </c>
      <c r="J17" s="59">
        <f t="shared" si="5"/>
        <v>5</v>
      </c>
      <c r="K17" s="59">
        <f t="shared" si="6"/>
        <v>31</v>
      </c>
      <c r="L17" s="59">
        <f t="shared" si="7"/>
        <v>50</v>
      </c>
      <c r="M17" s="60">
        <f t="shared" si="8"/>
        <v>-19</v>
      </c>
      <c r="N17" s="59">
        <f t="shared" si="9"/>
        <v>64</v>
      </c>
      <c r="P17" s="11" t="s">
        <v>48</v>
      </c>
      <c r="Q17" s="92" t="s">
        <v>53</v>
      </c>
      <c r="R17" s="49" t="s">
        <v>52</v>
      </c>
      <c r="S17" s="49" t="s">
        <v>86</v>
      </c>
      <c r="T17" s="49" t="s">
        <v>116</v>
      </c>
      <c r="U17" s="49" t="s">
        <v>52</v>
      </c>
      <c r="V17" s="49" t="s">
        <v>92</v>
      </c>
      <c r="W17" s="49" t="s">
        <v>85</v>
      </c>
      <c r="X17" s="49" t="s">
        <v>53</v>
      </c>
      <c r="Y17" s="162" t="s">
        <v>107</v>
      </c>
      <c r="Z17" s="49" t="s">
        <v>53</v>
      </c>
      <c r="AA17" s="49" t="s">
        <v>86</v>
      </c>
      <c r="AB17" s="49" t="s">
        <v>113</v>
      </c>
      <c r="AC17" s="35"/>
      <c r="AD17" s="49" t="s">
        <v>110</v>
      </c>
      <c r="AE17" s="64" t="s">
        <v>107</v>
      </c>
      <c r="AF17" s="107" t="s">
        <v>108</v>
      </c>
      <c r="AG17" s="95">
        <v>23</v>
      </c>
      <c r="AH17" s="52">
        <v>28</v>
      </c>
      <c r="AI17" s="52">
        <v>1</v>
      </c>
      <c r="AJ17" s="52">
        <v>19</v>
      </c>
      <c r="AK17" s="52">
        <v>30</v>
      </c>
      <c r="AL17" s="52">
        <v>3</v>
      </c>
      <c r="AM17" s="52">
        <v>17</v>
      </c>
      <c r="AN17" s="52">
        <v>14</v>
      </c>
      <c r="AO17" s="150">
        <v>9</v>
      </c>
      <c r="AP17" s="52">
        <v>21</v>
      </c>
      <c r="AQ17" s="52">
        <v>25</v>
      </c>
      <c r="AR17" s="52">
        <v>7</v>
      </c>
      <c r="AS17" s="56"/>
      <c r="AT17" s="52">
        <v>27</v>
      </c>
      <c r="AU17" s="52">
        <v>5</v>
      </c>
      <c r="AV17" s="53">
        <v>11</v>
      </c>
      <c r="AW17" s="102">
        <v>42028</v>
      </c>
      <c r="AX17" s="108">
        <v>42062</v>
      </c>
      <c r="AY17" s="108">
        <v>41845</v>
      </c>
      <c r="AZ17" s="108">
        <v>41987</v>
      </c>
      <c r="BA17" s="108">
        <v>42077</v>
      </c>
      <c r="BB17" s="108">
        <v>41861</v>
      </c>
      <c r="BC17" s="108">
        <v>41972</v>
      </c>
      <c r="BD17" s="108">
        <v>41944</v>
      </c>
      <c r="BE17" s="155">
        <v>41910</v>
      </c>
      <c r="BF17" s="108">
        <v>42000</v>
      </c>
      <c r="BG17" s="108">
        <v>42041</v>
      </c>
      <c r="BH17" s="108">
        <v>41895</v>
      </c>
      <c r="BI17" s="15"/>
      <c r="BJ17" s="108">
        <v>42056</v>
      </c>
      <c r="BK17" s="109">
        <v>41874</v>
      </c>
      <c r="BL17" s="110">
        <v>41931</v>
      </c>
      <c r="BN17" s="194">
        <f t="shared" si="44"/>
        <v>4.0201061299999994</v>
      </c>
      <c r="BO17" s="18" t="str">
        <f t="shared" si="10"/>
        <v>Standard</v>
      </c>
      <c r="BP17" s="19">
        <f t="shared" si="11"/>
        <v>53</v>
      </c>
      <c r="BQ17" s="19">
        <f t="shared" si="12"/>
        <v>30</v>
      </c>
      <c r="BR17" s="19">
        <f>CHOOSE(StandBer,COUNTIF(CC51:CR51,"t")+COUNTIF(CO39:CO54,"u")+COUNTIF(CT51:DI51,"t")+COUNTIF(DF39:DF54,"u"),COUNTIF(CC51:CR51,"t")+COUNTIF(CO39:CO54,"u"),COUNTIF(CT51:DI51,"t")+COUNTIF(DF39:DF54,"u"),COUNTIF(CC51:CR51,"t")+COUNTIF(CT51:DI51,"t"),COUNTIF(CO39:CO54,"u")+COUNTIF(DF39:DF54,"u"))</f>
        <v>16</v>
      </c>
      <c r="BS17" s="19">
        <f>CHOOSE(StandBer,COUNTIF(CC51:CR51,"u")+COUNTIF(CO39:CO54,"t")+COUNTIF(CT51:DI51,"u")+COUNTIF(DF39:DF54,"t"),COUNTIF(CC51:CR51,"u")+COUNTIF(CO39:CO54,"t"),COUNTIF(CT51:DI51,"u")+COUNTIF(DF39:DF54,"t"),COUNTIF(CC51:CR51,"u")+COUNTIF(CT51:DI51,"u"),COUNTIF(CO39:CO54,"t")+COUNTIF(DF39:DF54,"t"))+BX17</f>
        <v>9</v>
      </c>
      <c r="BT17" s="19">
        <f>CHOOSE(StandBer,COUNTIF(CC51:CR51,"g")+COUNTIF(CO39:CO54,"g")+COUNTIF(CT51:DI51,"g")+COUNTIF(DF39:DF54,"g"),COUNTIF(CC51:CR51,"g")+COUNTIF(CO39:CO54,"g"),COUNTIF(CT51:DI51,"g")+COUNTIF(DF39:DF54,"g"),COUNTIF(CC51:CR51,"g")+COUNTIF(CT51:DI51,"g"),COUNTIF(CO39:CO54,"g")+COUNTIF(DF39:DF54,"g"))</f>
        <v>5</v>
      </c>
      <c r="BU17" s="19">
        <f>CHOOSE(StandBer,SUM(CC17:CR17)+SUM(CO22:CO37)+SUM(CT17:DI17)+SUM(DF22:DF37),SUM(CC17:CR17)+SUM(CO22:CO37),SUM(CT17:DI17)+SUM(DF22:DF37),SUM(CC17:CR17)+SUM(CT17:DI17),SUM(CO22:CO37)+SUM(DF22:DF37))-5*BX17</f>
        <v>49</v>
      </c>
      <c r="BV17" s="19">
        <f>CHOOSE(StandBer,SUM(CO5:CO20)+SUM(CC34:CR34)+SUM(DF5:DF20)+SUM(CT34:DI34),SUM(CO5:CO20)+SUM(CC34:CR34),SUM(DF5:DF20)+SUM(CT34:DI34),SUM(CO5:CO20)+SUM(DF5:DF20),SUM(CC34:CR34)+SUM(CT34:DI34))</f>
        <v>39</v>
      </c>
      <c r="BW17" s="19">
        <f t="shared" si="13"/>
        <v>10</v>
      </c>
      <c r="BX17" s="19">
        <f>CHOOSE(StandBer,COUNTIF(CC51:CR51,"ff")+COUNTIF(CO39:CO54,"ff")+COUNTIF(CT51:DI51,"ff")+COUNTIF(DF39:DF54,"ff"),COUNTIF(CC51:CR51,"ff")+COUNTIF(CO39:CO54,"ff"),COUNTIF(CT51:DI51,"ff")+COUNTIF(DF39:DF54,"ff"),COUNTIF(CC51:CR51,"ff")+COUNTIF(CT51:DI51,"ff"),COUNTIF(CO39:CO54,"ff")+COUNTIF(DF39:DF54,"ff"))</f>
        <v>0</v>
      </c>
      <c r="BY17" s="19">
        <v>13</v>
      </c>
      <c r="BZ17" s="194">
        <f>SMALL(BN5:BN20,13)</f>
        <v>13.130112110000001</v>
      </c>
      <c r="CB17" s="13"/>
      <c r="CC17" s="23" t="str">
        <f t="shared" si="45"/>
        <v/>
      </c>
      <c r="CD17" s="24" t="str">
        <f t="shared" si="14"/>
        <v/>
      </c>
      <c r="CE17" s="24">
        <f t="shared" si="15"/>
        <v>3</v>
      </c>
      <c r="CF17" s="24" t="str">
        <f t="shared" si="16"/>
        <v/>
      </c>
      <c r="CG17" s="24" t="str">
        <f t="shared" si="17"/>
        <v/>
      </c>
      <c r="CH17" s="24">
        <f t="shared" si="18"/>
        <v>0</v>
      </c>
      <c r="CI17" s="24" t="str">
        <f t="shared" si="19"/>
        <v/>
      </c>
      <c r="CJ17" s="24">
        <f t="shared" si="20"/>
        <v>2</v>
      </c>
      <c r="CK17" s="24">
        <f t="shared" si="21"/>
        <v>2</v>
      </c>
      <c r="CL17" s="24" t="str">
        <f t="shared" si="22"/>
        <v/>
      </c>
      <c r="CM17" s="24" t="str">
        <f t="shared" si="23"/>
        <v/>
      </c>
      <c r="CN17" s="24">
        <f t="shared" si="24"/>
        <v>3</v>
      </c>
      <c r="CO17" s="24"/>
      <c r="CP17" s="24" t="str">
        <f t="shared" si="26"/>
        <v/>
      </c>
      <c r="CQ17" s="24">
        <f t="shared" si="27"/>
        <v>2</v>
      </c>
      <c r="CR17" s="25">
        <f t="shared" si="28"/>
        <v>1</v>
      </c>
      <c r="CS17" s="19"/>
      <c r="CT17" s="23">
        <f t="shared" si="46"/>
        <v>2</v>
      </c>
      <c r="CU17" s="24">
        <f t="shared" si="29"/>
        <v>1</v>
      </c>
      <c r="CV17" s="24" t="str">
        <f t="shared" si="30"/>
        <v/>
      </c>
      <c r="CW17" s="24">
        <f t="shared" si="31"/>
        <v>1</v>
      </c>
      <c r="CX17" s="24">
        <f t="shared" si="32"/>
        <v>1</v>
      </c>
      <c r="CY17" s="24" t="str">
        <f t="shared" si="33"/>
        <v/>
      </c>
      <c r="CZ17" s="24">
        <f t="shared" si="34"/>
        <v>0</v>
      </c>
      <c r="DA17" s="24" t="str">
        <f t="shared" si="35"/>
        <v/>
      </c>
      <c r="DB17" s="24" t="str">
        <f t="shared" si="36"/>
        <v/>
      </c>
      <c r="DC17" s="24">
        <f t="shared" si="37"/>
        <v>2</v>
      </c>
      <c r="DD17" s="24">
        <f t="shared" si="38"/>
        <v>3</v>
      </c>
      <c r="DE17" s="24" t="str">
        <f t="shared" si="39"/>
        <v/>
      </c>
      <c r="DF17" s="24"/>
      <c r="DG17" s="24">
        <f t="shared" si="41"/>
        <v>3</v>
      </c>
      <c r="DH17" s="24" t="str">
        <f t="shared" si="42"/>
        <v/>
      </c>
      <c r="DI17" s="25" t="str">
        <f t="shared" si="43"/>
        <v/>
      </c>
    </row>
    <row r="18" spans="1:113" ht="15" customHeight="1" x14ac:dyDescent="0.3">
      <c r="A18" s="46"/>
      <c r="C18" s="39" t="str">
        <f>IF(RANK(E18,E5:E20,0)&gt;RANK(E17,E5:E20,0),RANK(E18,E5:E20,0),"")</f>
        <v/>
      </c>
      <c r="D18" s="58" t="str">
        <f t="shared" si="0"/>
        <v>Waasland-Beveren</v>
      </c>
      <c r="E18" s="105">
        <f t="shared" si="1"/>
        <v>26</v>
      </c>
      <c r="F18" s="59">
        <f t="shared" si="2"/>
        <v>30</v>
      </c>
      <c r="G18" s="59" t="str">
        <f>REPT(IF(F18-MODE(F5:F20)&lt;0,"-","+"),ABS(F18-MODE(F5:F20)))</f>
        <v/>
      </c>
      <c r="H18" s="59">
        <f t="shared" si="3"/>
        <v>7</v>
      </c>
      <c r="I18" s="59">
        <f t="shared" si="4"/>
        <v>18</v>
      </c>
      <c r="J18" s="59">
        <f t="shared" si="5"/>
        <v>5</v>
      </c>
      <c r="K18" s="59">
        <f t="shared" si="6"/>
        <v>30</v>
      </c>
      <c r="L18" s="59">
        <f t="shared" si="7"/>
        <v>49</v>
      </c>
      <c r="M18" s="60">
        <f t="shared" si="8"/>
        <v>-19</v>
      </c>
      <c r="N18" s="59">
        <f t="shared" si="9"/>
        <v>64</v>
      </c>
      <c r="P18" s="11" t="s">
        <v>77</v>
      </c>
      <c r="Q18" s="92" t="s">
        <v>85</v>
      </c>
      <c r="R18" s="49" t="s">
        <v>52</v>
      </c>
      <c r="S18" s="49" t="s">
        <v>116</v>
      </c>
      <c r="T18" s="49" t="s">
        <v>85</v>
      </c>
      <c r="U18" s="49" t="s">
        <v>92</v>
      </c>
      <c r="V18" s="49" t="s">
        <v>92</v>
      </c>
      <c r="W18" s="49" t="s">
        <v>52</v>
      </c>
      <c r="X18" s="49" t="s">
        <v>107</v>
      </c>
      <c r="Y18" s="162" t="s">
        <v>53</v>
      </c>
      <c r="Z18" s="49" t="s">
        <v>51</v>
      </c>
      <c r="AA18" s="49" t="s">
        <v>106</v>
      </c>
      <c r="AB18" s="49" t="s">
        <v>52</v>
      </c>
      <c r="AC18" s="49" t="s">
        <v>85</v>
      </c>
      <c r="AD18" s="35"/>
      <c r="AE18" s="64" t="s">
        <v>50</v>
      </c>
      <c r="AF18" s="107" t="s">
        <v>116</v>
      </c>
      <c r="AG18" s="95">
        <v>20</v>
      </c>
      <c r="AH18" s="52">
        <v>10</v>
      </c>
      <c r="AI18" s="52">
        <v>19</v>
      </c>
      <c r="AJ18" s="52">
        <v>1</v>
      </c>
      <c r="AK18" s="52">
        <v>12</v>
      </c>
      <c r="AL18" s="52">
        <v>28</v>
      </c>
      <c r="AM18" s="52">
        <v>26</v>
      </c>
      <c r="AN18" s="52">
        <v>24</v>
      </c>
      <c r="AO18" s="150">
        <v>6</v>
      </c>
      <c r="AP18" s="52">
        <v>30</v>
      </c>
      <c r="AQ18" s="52">
        <v>17</v>
      </c>
      <c r="AR18" s="52">
        <v>14</v>
      </c>
      <c r="AS18" s="52">
        <v>8</v>
      </c>
      <c r="AT18" s="56"/>
      <c r="AU18" s="52">
        <v>3</v>
      </c>
      <c r="AV18" s="53">
        <v>22</v>
      </c>
      <c r="AW18" s="102">
        <v>41993</v>
      </c>
      <c r="AX18" s="108">
        <v>41916</v>
      </c>
      <c r="AY18" s="108">
        <v>41986</v>
      </c>
      <c r="AZ18" s="108">
        <v>41846</v>
      </c>
      <c r="BA18" s="108">
        <v>41937</v>
      </c>
      <c r="BB18" s="108">
        <v>42064</v>
      </c>
      <c r="BC18" s="108">
        <v>42049</v>
      </c>
      <c r="BD18" s="108">
        <v>42035</v>
      </c>
      <c r="BE18" s="155">
        <v>41881</v>
      </c>
      <c r="BF18" s="108">
        <v>42077</v>
      </c>
      <c r="BG18" s="108">
        <v>41972</v>
      </c>
      <c r="BH18" s="108">
        <v>41944</v>
      </c>
      <c r="BI18" s="108">
        <v>41903</v>
      </c>
      <c r="BJ18" s="15"/>
      <c r="BK18" s="109">
        <v>41860</v>
      </c>
      <c r="BL18" s="110">
        <v>42021</v>
      </c>
      <c r="BN18" s="194">
        <f t="shared" si="44"/>
        <v>13.13011214</v>
      </c>
      <c r="BO18" s="18" t="str">
        <f t="shared" si="10"/>
        <v>Waasland-Beveren</v>
      </c>
      <c r="BP18" s="19">
        <f t="shared" si="11"/>
        <v>26</v>
      </c>
      <c r="BQ18" s="19">
        <f t="shared" si="12"/>
        <v>30</v>
      </c>
      <c r="BR18" s="19">
        <f>CHOOSE(StandBer,COUNTIF(CC52:CR52,"t")+COUNTIF(CP39:CP54,"u")+COUNTIF(CT52:DI52,"t")+COUNTIF(DG39:DG54,"u"),COUNTIF(CC52:CR52,"t")+COUNTIF(CP39:CP54,"u"),COUNTIF(CT52:DI52,"t")+COUNTIF(DG39:DG54,"u"),COUNTIF(CC52:CR52,"t")+COUNTIF(CT52:DI52,"t"),COUNTIF(CP39:CP54,"u")+COUNTIF(DG39:DG54,"u"))</f>
        <v>7</v>
      </c>
      <c r="BS18" s="19">
        <f>CHOOSE(StandBer,COUNTIF(CC52:CR52,"u")+COUNTIF(CP39:CP54,"t")+COUNTIF(CT52:DI52,"u")+COUNTIF(DG39:DG54,"t"),COUNTIF(CC52:CR52,"u")+COUNTIF(CP39:CP54,"t"),COUNTIF(CT52:DI52,"u")+COUNTIF(DG39:DG54,"t"),COUNTIF(CC52:CR52,"u")+COUNTIF(CT52:DI52,"u"),COUNTIF(CP39:CP54,"t")+COUNTIF(DG39:DG54,"t"))+BX18</f>
        <v>18</v>
      </c>
      <c r="BT18" s="19">
        <f>CHOOSE(StandBer,COUNTIF(CC52:CR52,"g")+COUNTIF(CP39:CP54,"g")+COUNTIF(CT52:DI52,"g")+COUNTIF(DG39:DG54,"g"),COUNTIF(CC52:CR52,"g")+COUNTIF(CP39:CP54,"g"),COUNTIF(CT52:DI52,"g")+COUNTIF(DG39:DG54,"g"),COUNTIF(CC52:CR52,"g")+COUNTIF(CT52:DI52,"g"),COUNTIF(CP39:CP54,"g")+COUNTIF(DG39:DG54,"g"))</f>
        <v>5</v>
      </c>
      <c r="BU18" s="19">
        <f>CHOOSE(StandBer,SUM(CC18:CR18)+SUM(CP22:CP37)+SUM(CT18:DI18)+SUM(DG22:DG37),SUM(CC18:CR18)+SUM(CP22:CP37),SUM(CT18:DI18)+SUM(DG22:DG37),SUM(CC18:CR18)+SUM(CT18:DI18),SUM(CP22:CP37)+SUM(DG22:DG37))-5*BX18</f>
        <v>30</v>
      </c>
      <c r="BV18" s="19">
        <f>CHOOSE(StandBer,SUM(CP5:CP20)+SUM(CC35:CR35)+SUM(DG5:DG20)+SUM(CT35:DI35),SUM(CP5:CP20)+SUM(CC35:CR35),SUM(DG5:DG20)+SUM(CT35:DI35),SUM(CP5:CP20)+SUM(DG5:DG20),SUM(CC35:CR35)+SUM(CT35:DI35))</f>
        <v>49</v>
      </c>
      <c r="BW18" s="19">
        <f t="shared" si="13"/>
        <v>-19</v>
      </c>
      <c r="BX18" s="19">
        <f>CHOOSE(StandBer,COUNTIF(CC52:CR52,"ff")+COUNTIF(CP39:CP54,"ff")+COUNTIF(CT52:DI52,"ff")+COUNTIF(DG39:DG54,"ff"),COUNTIF(CC52:CR52,"ff")+COUNTIF(CP39:CP54,"ff"),COUNTIF(CT52:DI52,"ff")+COUNTIF(DG39:DG54,"ff"),COUNTIF(CC52:CR52,"ff")+COUNTIF(CT52:DI52,"ff"),COUNTIF(CP39:CP54,"ff")+COUNTIF(DG39:DG54,"ff"))</f>
        <v>0</v>
      </c>
      <c r="BY18" s="19">
        <v>14</v>
      </c>
      <c r="BZ18" s="194">
        <f>SMALL(BN5:BN20,14)</f>
        <v>13.13011214</v>
      </c>
      <c r="CB18" s="13"/>
      <c r="CC18" s="23" t="str">
        <f t="shared" si="45"/>
        <v/>
      </c>
      <c r="CD18" s="24">
        <f t="shared" si="14"/>
        <v>1</v>
      </c>
      <c r="CE18" s="24" t="str">
        <f t="shared" si="15"/>
        <v/>
      </c>
      <c r="CF18" s="24">
        <f t="shared" si="16"/>
        <v>0</v>
      </c>
      <c r="CG18" s="24">
        <f t="shared" si="17"/>
        <v>0</v>
      </c>
      <c r="CH18" s="24" t="str">
        <f t="shared" si="18"/>
        <v/>
      </c>
      <c r="CI18" s="24" t="str">
        <f t="shared" si="19"/>
        <v/>
      </c>
      <c r="CJ18" s="24" t="str">
        <f t="shared" si="20"/>
        <v/>
      </c>
      <c r="CK18" s="24">
        <f t="shared" si="21"/>
        <v>2</v>
      </c>
      <c r="CL18" s="24" t="str">
        <f t="shared" si="22"/>
        <v/>
      </c>
      <c r="CM18" s="24" t="str">
        <f t="shared" si="23"/>
        <v/>
      </c>
      <c r="CN18" s="24">
        <f t="shared" si="24"/>
        <v>1</v>
      </c>
      <c r="CO18" s="24">
        <f t="shared" si="25"/>
        <v>0</v>
      </c>
      <c r="CP18" s="24"/>
      <c r="CQ18" s="24">
        <f t="shared" si="27"/>
        <v>1</v>
      </c>
      <c r="CR18" s="25" t="str">
        <f t="shared" si="28"/>
        <v/>
      </c>
      <c r="CS18" s="19"/>
      <c r="CT18" s="23">
        <f t="shared" si="46"/>
        <v>0</v>
      </c>
      <c r="CU18" s="24" t="str">
        <f t="shared" si="29"/>
        <v/>
      </c>
      <c r="CV18" s="24">
        <f t="shared" si="30"/>
        <v>1</v>
      </c>
      <c r="CW18" s="24" t="str">
        <f t="shared" si="31"/>
        <v/>
      </c>
      <c r="CX18" s="24" t="str">
        <f t="shared" si="32"/>
        <v/>
      </c>
      <c r="CY18" s="24">
        <f t="shared" si="33"/>
        <v>0</v>
      </c>
      <c r="CZ18" s="24">
        <f t="shared" si="34"/>
        <v>1</v>
      </c>
      <c r="DA18" s="24">
        <f t="shared" si="35"/>
        <v>2</v>
      </c>
      <c r="DB18" s="24" t="str">
        <f t="shared" si="36"/>
        <v/>
      </c>
      <c r="DC18" s="24">
        <f t="shared" si="37"/>
        <v>0</v>
      </c>
      <c r="DD18" s="24">
        <f t="shared" si="38"/>
        <v>2</v>
      </c>
      <c r="DE18" s="24" t="str">
        <f t="shared" si="39"/>
        <v/>
      </c>
      <c r="DF18" s="24" t="str">
        <f t="shared" si="40"/>
        <v/>
      </c>
      <c r="DG18" s="24"/>
      <c r="DH18" s="24" t="str">
        <f t="shared" si="42"/>
        <v/>
      </c>
      <c r="DI18" s="25">
        <f t="shared" si="43"/>
        <v>1</v>
      </c>
    </row>
    <row r="19" spans="1:113" ht="15" customHeight="1" x14ac:dyDescent="0.3">
      <c r="A19" s="46"/>
      <c r="C19" s="39">
        <f>IF(RANK(E19,E5:E20,0)&gt;RANK(E18,E5:E20,0),RANK(E19,E5:E20,0),"")</f>
        <v>15</v>
      </c>
      <c r="D19" s="58" t="str">
        <f t="shared" si="0"/>
        <v>Cercle Brugge</v>
      </c>
      <c r="E19" s="105">
        <f t="shared" si="1"/>
        <v>24</v>
      </c>
      <c r="F19" s="59">
        <f t="shared" si="2"/>
        <v>30</v>
      </c>
      <c r="G19" s="59" t="str">
        <f>REPT(IF(F19-MODE(F5:F20)&lt;0,"-","+"),ABS(F19-MODE(F5:F20)))</f>
        <v/>
      </c>
      <c r="H19" s="59">
        <f t="shared" si="3"/>
        <v>6</v>
      </c>
      <c r="I19" s="59">
        <f t="shared" si="4"/>
        <v>18</v>
      </c>
      <c r="J19" s="59">
        <f t="shared" si="5"/>
        <v>6</v>
      </c>
      <c r="K19" s="59">
        <f t="shared" si="6"/>
        <v>21</v>
      </c>
      <c r="L19" s="59">
        <f t="shared" si="7"/>
        <v>45</v>
      </c>
      <c r="M19" s="60">
        <f t="shared" si="8"/>
        <v>-24</v>
      </c>
      <c r="N19" s="59">
        <f t="shared" si="9"/>
        <v>66</v>
      </c>
      <c r="P19" s="47" t="s">
        <v>98</v>
      </c>
      <c r="Q19" s="93" t="s">
        <v>107</v>
      </c>
      <c r="R19" s="50" t="s">
        <v>52</v>
      </c>
      <c r="S19" s="50" t="s">
        <v>105</v>
      </c>
      <c r="T19" s="50" t="s">
        <v>116</v>
      </c>
      <c r="U19" s="50" t="s">
        <v>108</v>
      </c>
      <c r="V19" s="50" t="s">
        <v>51</v>
      </c>
      <c r="W19" s="50" t="s">
        <v>106</v>
      </c>
      <c r="X19" s="50" t="s">
        <v>50</v>
      </c>
      <c r="Y19" s="166" t="s">
        <v>115</v>
      </c>
      <c r="Z19" s="50" t="s">
        <v>52</v>
      </c>
      <c r="AA19" s="50" t="s">
        <v>116</v>
      </c>
      <c r="AB19" s="50" t="s">
        <v>52</v>
      </c>
      <c r="AC19" s="50" t="s">
        <v>50</v>
      </c>
      <c r="AD19" s="50" t="s">
        <v>108</v>
      </c>
      <c r="AE19" s="48"/>
      <c r="AF19" s="115" t="s">
        <v>107</v>
      </c>
      <c r="AG19" s="95">
        <v>4</v>
      </c>
      <c r="AH19" s="52">
        <v>24</v>
      </c>
      <c r="AI19" s="52">
        <v>17</v>
      </c>
      <c r="AJ19" s="52">
        <v>30</v>
      </c>
      <c r="AK19" s="52">
        <v>26</v>
      </c>
      <c r="AL19" s="52">
        <v>10</v>
      </c>
      <c r="AM19" s="52">
        <v>12</v>
      </c>
      <c r="AN19" s="52">
        <v>20</v>
      </c>
      <c r="AO19" s="150">
        <v>8</v>
      </c>
      <c r="AP19" s="52">
        <v>1</v>
      </c>
      <c r="AQ19" s="52">
        <v>14</v>
      </c>
      <c r="AR19" s="52">
        <v>28</v>
      </c>
      <c r="AS19" s="52">
        <v>22</v>
      </c>
      <c r="AT19" s="52">
        <v>18</v>
      </c>
      <c r="AU19" s="56"/>
      <c r="AV19" s="53">
        <v>6</v>
      </c>
      <c r="AW19" s="103">
        <v>41868</v>
      </c>
      <c r="AX19" s="111">
        <v>42035</v>
      </c>
      <c r="AY19" s="111">
        <v>41972</v>
      </c>
      <c r="AZ19" s="111">
        <v>42077</v>
      </c>
      <c r="BA19" s="111">
        <v>42048</v>
      </c>
      <c r="BB19" s="111">
        <v>41915</v>
      </c>
      <c r="BC19" s="111">
        <v>41937</v>
      </c>
      <c r="BD19" s="111">
        <v>41993</v>
      </c>
      <c r="BE19" s="159">
        <v>41902</v>
      </c>
      <c r="BF19" s="108">
        <v>41846</v>
      </c>
      <c r="BG19" s="108">
        <v>41945</v>
      </c>
      <c r="BH19" s="111">
        <v>42063</v>
      </c>
      <c r="BI19" s="111">
        <v>42022</v>
      </c>
      <c r="BJ19" s="111">
        <v>41978</v>
      </c>
      <c r="BK19" s="51"/>
      <c r="BL19" s="113">
        <v>41881</v>
      </c>
      <c r="BN19" s="194">
        <f t="shared" si="44"/>
        <v>11.110114149999999</v>
      </c>
      <c r="BO19" s="18" t="str">
        <f t="shared" si="10"/>
        <v>Westerlo</v>
      </c>
      <c r="BP19" s="19">
        <f t="shared" si="11"/>
        <v>33</v>
      </c>
      <c r="BQ19" s="19">
        <f t="shared" si="12"/>
        <v>30</v>
      </c>
      <c r="BR19" s="19">
        <f>CHOOSE(StandBer,COUNTIF(CC53:CR53,"t")+COUNTIF(CQ39:CQ54,"u")+COUNTIF(CT53:DI53,"t")+COUNTIF(DH39:DH54,"u"),COUNTIF(CC53:CR53,"t")+COUNTIF(CQ39:CQ54,"u"),COUNTIF(CT53:DI53,"t")+COUNTIF(DH39:DH54,"u"),COUNTIF(CC53:CR53,"t")+COUNTIF(CT53:DI53,"t"),COUNTIF(CQ39:CQ54,"u")+COUNTIF(DH39:DH54,"u"))</f>
        <v>8</v>
      </c>
      <c r="BS19" s="19">
        <f>CHOOSE(StandBer,COUNTIF(CC53:CR53,"u")+COUNTIF(CQ39:CQ54,"t")+COUNTIF(CT53:DI53,"u")+COUNTIF(DH39:DH54,"t"),COUNTIF(CC53:CR53,"u")+COUNTIF(CQ39:CQ54,"t"),COUNTIF(CT53:DI53,"u")+COUNTIF(DH39:DH54,"t"),COUNTIF(CC53:CR53,"u")+COUNTIF(CT53:DI53,"u"),COUNTIF(CQ39:CQ54,"t")+COUNTIF(DH39:DH54,"t"))+BX19</f>
        <v>13</v>
      </c>
      <c r="BT19" s="19">
        <f>CHOOSE(StandBer,COUNTIF(CC53:CR53,"g")+COUNTIF(CQ39:CQ54,"g")+COUNTIF(CT53:DI53,"g")+COUNTIF(DH39:DH54,"g"),COUNTIF(CC53:CR53,"g")+COUNTIF(CQ39:CQ54,"g"),COUNTIF(CT53:DI53,"g")+COUNTIF(DH39:DH54,"g"),COUNTIF(CC53:CR53,"g")+COUNTIF(CT53:DI53,"g"),COUNTIF(CQ39:CQ54,"g")+COUNTIF(DH39:DH54,"g"))</f>
        <v>9</v>
      </c>
      <c r="BU19" s="19">
        <f>CHOOSE(StandBer,SUM(CC19:CR19)+SUM(CQ22:CQ37)+SUM(CT19:DI19)+SUM(DH22:DH37),SUM(CC19:CR19)+SUM(CQ22:CQ37),SUM(CT19:DI19)+SUM(DH22:DH37),SUM(CC19:CR19)+SUM(CT19:DI19),SUM(CQ22:CQ37)+SUM(DH22:DH37))-5*BX19</f>
        <v>40</v>
      </c>
      <c r="BV19" s="19">
        <f>CHOOSE(StandBer,SUM(CQ5:CQ20)+SUM(CC36:CR36)+SUM(DH5:DH20)+SUM(CT36:DI36),SUM(CQ5:CQ20)+SUM(CC36:CR36),SUM(DH5:DH20)+SUM(CT36:DI36),SUM(CQ5:CQ20)+SUM(DH5:DH20),SUM(CC36:CR36)+SUM(CT36:DI36))</f>
        <v>63</v>
      </c>
      <c r="BW19" s="19">
        <f t="shared" si="13"/>
        <v>-23</v>
      </c>
      <c r="BX19" s="19">
        <f>CHOOSE(StandBer,COUNTIF(CC53:CR53,"ff")+COUNTIF(CQ39:CQ54,"ff")+COUNTIF(CT53:DI53,"ff")+COUNTIF(DH39:DH54,"ff"),COUNTIF(CC53:CR53,"ff")+COUNTIF(CQ39:CQ54,"ff"),COUNTIF(CT53:DI53,"ff")+COUNTIF(DH39:DH54,"ff"),COUNTIF(CC53:CR53,"ff")+COUNTIF(CT53:DI53,"ff"),COUNTIF(CQ39:CQ54,"ff")+COUNTIF(DH39:DH54,"ff"))</f>
        <v>0</v>
      </c>
      <c r="BY19" s="19">
        <v>15</v>
      </c>
      <c r="BZ19" s="194">
        <f>SMALL(BN5:BN20,15)</f>
        <v>15.150115019999999</v>
      </c>
      <c r="CB19" s="13"/>
      <c r="CC19" s="23">
        <f t="shared" si="45"/>
        <v>2</v>
      </c>
      <c r="CD19" s="24" t="str">
        <f t="shared" si="14"/>
        <v/>
      </c>
      <c r="CE19" s="24" t="str">
        <f t="shared" si="15"/>
        <v/>
      </c>
      <c r="CF19" s="24" t="str">
        <f t="shared" si="16"/>
        <v/>
      </c>
      <c r="CG19" s="24" t="str">
        <f t="shared" si="17"/>
        <v/>
      </c>
      <c r="CH19" s="24">
        <f t="shared" si="18"/>
        <v>0</v>
      </c>
      <c r="CI19" s="24">
        <f t="shared" si="19"/>
        <v>2</v>
      </c>
      <c r="CJ19" s="24" t="str">
        <f t="shared" si="20"/>
        <v/>
      </c>
      <c r="CK19" s="24">
        <f t="shared" si="21"/>
        <v>6</v>
      </c>
      <c r="CL19" s="24">
        <f t="shared" si="22"/>
        <v>1</v>
      </c>
      <c r="CM19" s="24">
        <f t="shared" si="23"/>
        <v>1</v>
      </c>
      <c r="CN19" s="24" t="str">
        <f t="shared" si="24"/>
        <v/>
      </c>
      <c r="CO19" s="24" t="str">
        <f t="shared" si="25"/>
        <v/>
      </c>
      <c r="CP19" s="24" t="str">
        <f t="shared" si="26"/>
        <v/>
      </c>
      <c r="CQ19" s="24"/>
      <c r="CR19" s="25">
        <f t="shared" si="28"/>
        <v>2</v>
      </c>
      <c r="CS19" s="19"/>
      <c r="CT19" s="23" t="str">
        <f t="shared" si="46"/>
        <v/>
      </c>
      <c r="CU19" s="24">
        <f t="shared" si="29"/>
        <v>1</v>
      </c>
      <c r="CV19" s="24">
        <f t="shared" si="30"/>
        <v>2</v>
      </c>
      <c r="CW19" s="24">
        <f t="shared" si="31"/>
        <v>1</v>
      </c>
      <c r="CX19" s="24">
        <f t="shared" si="32"/>
        <v>1</v>
      </c>
      <c r="CY19" s="24" t="str">
        <f t="shared" si="33"/>
        <v/>
      </c>
      <c r="CZ19" s="24" t="str">
        <f t="shared" si="34"/>
        <v/>
      </c>
      <c r="DA19" s="24">
        <f t="shared" si="35"/>
        <v>1</v>
      </c>
      <c r="DB19" s="24" t="str">
        <f t="shared" si="36"/>
        <v/>
      </c>
      <c r="DC19" s="24" t="str">
        <f t="shared" si="37"/>
        <v/>
      </c>
      <c r="DD19" s="24" t="str">
        <f t="shared" si="38"/>
        <v/>
      </c>
      <c r="DE19" s="24">
        <f t="shared" si="39"/>
        <v>1</v>
      </c>
      <c r="DF19" s="24">
        <f t="shared" si="40"/>
        <v>1</v>
      </c>
      <c r="DG19" s="24">
        <f t="shared" si="41"/>
        <v>1</v>
      </c>
      <c r="DH19" s="24"/>
      <c r="DI19" s="25" t="str">
        <f t="shared" si="43"/>
        <v/>
      </c>
    </row>
    <row r="20" spans="1:113" ht="15" customHeight="1" thickBot="1" x14ac:dyDescent="0.35">
      <c r="A20" s="46"/>
      <c r="C20" s="39">
        <f>IF(RANK(E20,E5:E20,0)&gt;RANK(E19,E5:E20,0),RANK(E20,E5:E20,0),"")</f>
        <v>16</v>
      </c>
      <c r="D20" s="58" t="str">
        <f t="shared" si="0"/>
        <v>Lierse</v>
      </c>
      <c r="E20" s="105">
        <f t="shared" si="1"/>
        <v>22</v>
      </c>
      <c r="F20" s="59">
        <f t="shared" si="2"/>
        <v>30</v>
      </c>
      <c r="G20" s="59" t="str">
        <f>REPT(IF(F20-MODE(F5:F20)&lt;0,"-","+"),ABS(F20-MODE(F5:F20)))</f>
        <v/>
      </c>
      <c r="H20" s="59">
        <f t="shared" si="3"/>
        <v>5</v>
      </c>
      <c r="I20" s="59">
        <f t="shared" si="4"/>
        <v>18</v>
      </c>
      <c r="J20" s="59">
        <f t="shared" si="5"/>
        <v>7</v>
      </c>
      <c r="K20" s="59">
        <f t="shared" si="6"/>
        <v>30</v>
      </c>
      <c r="L20" s="59">
        <f t="shared" si="7"/>
        <v>63</v>
      </c>
      <c r="M20" s="60">
        <f t="shared" si="8"/>
        <v>-33</v>
      </c>
      <c r="N20" s="59">
        <f t="shared" si="9"/>
        <v>68</v>
      </c>
      <c r="P20" s="12" t="s">
        <v>49</v>
      </c>
      <c r="Q20" s="94" t="s">
        <v>85</v>
      </c>
      <c r="R20" s="106" t="s">
        <v>108</v>
      </c>
      <c r="S20" s="106" t="s">
        <v>116</v>
      </c>
      <c r="T20" s="106" t="s">
        <v>50</v>
      </c>
      <c r="U20" s="106" t="s">
        <v>53</v>
      </c>
      <c r="V20" s="106" t="s">
        <v>106</v>
      </c>
      <c r="W20" s="106" t="s">
        <v>53</v>
      </c>
      <c r="X20" s="106" t="s">
        <v>105</v>
      </c>
      <c r="Y20" s="148" t="s">
        <v>105</v>
      </c>
      <c r="Z20" s="106" t="s">
        <v>52</v>
      </c>
      <c r="AA20" s="106" t="s">
        <v>50</v>
      </c>
      <c r="AB20" s="106" t="s">
        <v>112</v>
      </c>
      <c r="AC20" s="106" t="s">
        <v>50</v>
      </c>
      <c r="AD20" s="106" t="s">
        <v>112</v>
      </c>
      <c r="AE20" s="116" t="s">
        <v>116</v>
      </c>
      <c r="AF20" s="36"/>
      <c r="AG20" s="96">
        <v>9</v>
      </c>
      <c r="AH20" s="54">
        <v>12</v>
      </c>
      <c r="AI20" s="54">
        <v>21</v>
      </c>
      <c r="AJ20" s="54">
        <v>3</v>
      </c>
      <c r="AK20" s="54">
        <v>14</v>
      </c>
      <c r="AL20" s="54">
        <v>17</v>
      </c>
      <c r="AM20" s="54">
        <v>1</v>
      </c>
      <c r="AN20" s="54">
        <v>28</v>
      </c>
      <c r="AO20" s="153">
        <v>25</v>
      </c>
      <c r="AP20" s="54">
        <v>19</v>
      </c>
      <c r="AQ20" s="54">
        <v>5</v>
      </c>
      <c r="AR20" s="54">
        <v>30</v>
      </c>
      <c r="AS20" s="54">
        <v>26</v>
      </c>
      <c r="AT20" s="54">
        <v>7</v>
      </c>
      <c r="AU20" s="54">
        <v>23</v>
      </c>
      <c r="AV20" s="57"/>
      <c r="AW20" s="104">
        <v>41909</v>
      </c>
      <c r="AX20" s="112">
        <v>41937</v>
      </c>
      <c r="AY20" s="112">
        <v>41999</v>
      </c>
      <c r="AZ20" s="112">
        <v>41861</v>
      </c>
      <c r="BA20" s="112">
        <v>41943</v>
      </c>
      <c r="BB20" s="112">
        <v>41972</v>
      </c>
      <c r="BC20" s="112">
        <v>41847</v>
      </c>
      <c r="BD20" s="112">
        <v>42063</v>
      </c>
      <c r="BE20" s="160">
        <v>42042</v>
      </c>
      <c r="BF20" s="112">
        <v>41987</v>
      </c>
      <c r="BG20" s="112">
        <v>41874</v>
      </c>
      <c r="BH20" s="112">
        <v>42077</v>
      </c>
      <c r="BI20" s="112">
        <v>42049</v>
      </c>
      <c r="BJ20" s="112">
        <v>41895</v>
      </c>
      <c r="BK20" s="114">
        <v>42028</v>
      </c>
      <c r="BL20" s="16"/>
      <c r="BN20" s="194">
        <f t="shared" si="44"/>
        <v>12.110111160000001</v>
      </c>
      <c r="BO20" s="18" t="str">
        <f t="shared" si="10"/>
        <v>Zulte-Waregem</v>
      </c>
      <c r="BP20" s="19">
        <f t="shared" si="11"/>
        <v>31</v>
      </c>
      <c r="BQ20" s="19">
        <f t="shared" si="12"/>
        <v>30</v>
      </c>
      <c r="BR20" s="19">
        <f>CHOOSE(StandBer,COUNTIF(CC54:CR54,"t")+COUNTIF(CR39:CR54,"u")+COUNTIF(CT54:DI54,"t")+COUNTIF(DI39:DI54,"u"),COUNTIF(CC54:CR54,"t")+COUNTIF(CR39:CR54,"u"),COUNTIF(CT54:DI54,"t")+COUNTIF(DI39:DI54,"u"),COUNTIF(CC54:CR54,"t")+COUNTIF(CT54:DI54,"t"),COUNTIF(CR39:CR54,"u")+COUNTIF(DI39:DI54,"u"))</f>
        <v>8</v>
      </c>
      <c r="BS20" s="19">
        <f>CHOOSE(StandBer,COUNTIF(CC54:CR54,"u")+COUNTIF(CR39:CR54,"t")+COUNTIF(CT54:DI54,"u")+COUNTIF(DI39:DI54,"t"),COUNTIF(CC54:CR54,"u")+COUNTIF(CR39:CR54,"t"),COUNTIF(CT54:DI54,"u")+COUNTIF(DI39:DI54,"t"),COUNTIF(CC54:CR54,"u")+COUNTIF(CT54:DI54,"u"),COUNTIF(CR39:CR54,"t")+COUNTIF(DI39:DI54,"t"))+BX20</f>
        <v>15</v>
      </c>
      <c r="BT20" s="19">
        <f>CHOOSE(StandBer,COUNTIF(CC54:CR54,"g")+COUNTIF(CR39:CR54,"g")+COUNTIF(CT54:DI54,"g")+COUNTIF(DI39:DI54,"g"),COUNTIF(CC54:CR54,"g")+COUNTIF(CR39:CR54,"g"),COUNTIF(CT54:DI54,"g")+COUNTIF(DI39:DI54,"g"),COUNTIF(CC54:CR54,"g")+COUNTIF(CT54:DI54,"g"),COUNTIF(CR39:CR54,"g")+COUNTIF(DI39:DI54,"g"))</f>
        <v>7</v>
      </c>
      <c r="BU20" s="19">
        <f>CHOOSE(StandBer,SUM(CC20:CR20)+SUM(CR22:CR37)+SUM(CT20:DI20)+SUM(DI22:DI37),SUM(CC20:CR20)+SUM(CR22:CR37),SUM(CT20:DI20)+SUM(DI22:DI37),SUM(CC20:CR20)+SUM(CT20:DI20),SUM(CR22:CR37)+SUM(DI22:DI37))-5*BX20</f>
        <v>41</v>
      </c>
      <c r="BV20" s="19">
        <f>CHOOSE(StandBer,SUM(CR5:CR20)+SUM(CC37:CR37)+SUM(DI5:DI20)+SUM(CT37:DI37),SUM(CR5:CR20)+SUM(CC37:CR37),SUM(DI5:DI20)+SUM(CT37:DI37),SUM(CR5:CR20)+SUM(DI5:DI20),SUM(CC37:CR37)+SUM(CT37:DI37))</f>
        <v>54</v>
      </c>
      <c r="BW20" s="19">
        <f t="shared" si="13"/>
        <v>-13</v>
      </c>
      <c r="BX20" s="19">
        <f>CHOOSE(StandBer,COUNTIF(CC54:CR54,"ff")+COUNTIF(CR39:CR54,"ff")+COUNTIF(CT54:DI54,"ff")+COUNTIF(DI39:DI54,"ff"),COUNTIF(CC54:CR54,"ff")+COUNTIF(CR39:CR54,"ff"),COUNTIF(CT54:DI54,"ff")+COUNTIF(DI39:DI54,"ff"),COUNTIF(CC54:CR54,"ff")+COUNTIF(CT54:DI54,"ff"),COUNTIF(CR39:CR54,"ff")+COUNTIF(DI39:DI54,"ff"))</f>
        <v>0</v>
      </c>
      <c r="BY20" s="19">
        <v>16</v>
      </c>
      <c r="BZ20" s="194">
        <f>SMALL(BN5:BN20,16)</f>
        <v>16.160116089999999</v>
      </c>
      <c r="CB20" s="13"/>
      <c r="CC20" s="26">
        <f t="shared" si="45"/>
        <v>0</v>
      </c>
      <c r="CD20" s="27">
        <f t="shared" si="14"/>
        <v>1</v>
      </c>
      <c r="CE20" s="27" t="str">
        <f t="shared" si="15"/>
        <v/>
      </c>
      <c r="CF20" s="27">
        <f t="shared" si="16"/>
        <v>1</v>
      </c>
      <c r="CG20" s="27">
        <f t="shared" si="17"/>
        <v>2</v>
      </c>
      <c r="CH20" s="27" t="str">
        <f t="shared" si="18"/>
        <v/>
      </c>
      <c r="CI20" s="27">
        <f t="shared" si="19"/>
        <v>2</v>
      </c>
      <c r="CJ20" s="27" t="str">
        <f t="shared" si="20"/>
        <v/>
      </c>
      <c r="CK20" s="27" t="str">
        <f t="shared" si="21"/>
        <v/>
      </c>
      <c r="CL20" s="27" t="str">
        <f t="shared" si="22"/>
        <v/>
      </c>
      <c r="CM20" s="27">
        <f t="shared" si="23"/>
        <v>1</v>
      </c>
      <c r="CN20" s="27" t="str">
        <f t="shared" si="24"/>
        <v/>
      </c>
      <c r="CO20" s="27" t="str">
        <f t="shared" si="25"/>
        <v/>
      </c>
      <c r="CP20" s="27">
        <f t="shared" si="26"/>
        <v>1</v>
      </c>
      <c r="CQ20" s="27" t="str">
        <f t="shared" si="27"/>
        <v/>
      </c>
      <c r="CR20" s="28"/>
      <c r="CS20" s="19"/>
      <c r="CT20" s="26" t="str">
        <f t="shared" si="46"/>
        <v/>
      </c>
      <c r="CU20" s="27" t="str">
        <f t="shared" si="29"/>
        <v/>
      </c>
      <c r="CV20" s="27">
        <f t="shared" si="30"/>
        <v>1</v>
      </c>
      <c r="CW20" s="27" t="str">
        <f t="shared" si="31"/>
        <v/>
      </c>
      <c r="CX20" s="27" t="str">
        <f t="shared" si="32"/>
        <v/>
      </c>
      <c r="CY20" s="27">
        <f t="shared" si="33"/>
        <v>2</v>
      </c>
      <c r="CZ20" s="27" t="str">
        <f t="shared" si="34"/>
        <v/>
      </c>
      <c r="DA20" s="27">
        <f t="shared" si="35"/>
        <v>2</v>
      </c>
      <c r="DB20" s="27">
        <f t="shared" si="36"/>
        <v>2</v>
      </c>
      <c r="DC20" s="27">
        <f t="shared" si="37"/>
        <v>1</v>
      </c>
      <c r="DD20" s="27" t="str">
        <f t="shared" si="38"/>
        <v/>
      </c>
      <c r="DE20" s="27">
        <f t="shared" si="39"/>
        <v>1</v>
      </c>
      <c r="DF20" s="27">
        <f t="shared" si="40"/>
        <v>1</v>
      </c>
      <c r="DG20" s="27" t="str">
        <f t="shared" si="41"/>
        <v/>
      </c>
      <c r="DH20" s="27">
        <f t="shared" si="42"/>
        <v>1</v>
      </c>
      <c r="DI20" s="28"/>
    </row>
    <row r="21" spans="1:113" ht="15.75" thickBot="1" x14ac:dyDescent="0.35">
      <c r="A21" s="46"/>
      <c r="R21" s="17" t="s">
        <v>18</v>
      </c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</row>
    <row r="22" spans="1:113" ht="15.75" thickBot="1" x14ac:dyDescent="0.35">
      <c r="A22" s="46"/>
      <c r="P22" s="10"/>
      <c r="CB22" s="13"/>
      <c r="CC22" s="65"/>
      <c r="CD22" s="66">
        <f t="shared" ref="CD22:CD37" si="47">IF(OR(ISERROR(FIND("-",R5)),AH5&gt;15),"",IF(RIGHT(R5)="*",5,MID(R5,FIND("-",R5)+1,LEN(R5)-FIND("-",R5))-0))</f>
        <v>2</v>
      </c>
      <c r="CE22" s="66">
        <f t="shared" ref="CE22:CE37" si="48">IF(OR(ISERROR(FIND("-",S5)),AI5&gt;15),"",IF(RIGHT(S5)="*",5,MID(S5,FIND("-",S5)+1,LEN(S5)-FIND("-",S5))-0))</f>
        <v>0</v>
      </c>
      <c r="CF22" s="66" t="str">
        <f t="shared" ref="CF22:CF37" si="49">IF(OR(ISERROR(FIND("-",T5)),AJ5&gt;15),"",IF(RIGHT(T5)="*",5,MID(T5,FIND("-",T5)+1,LEN(T5)-FIND("-",T5))-0))</f>
        <v/>
      </c>
      <c r="CG22" s="66">
        <f t="shared" ref="CG22:CG37" si="50">IF(OR(ISERROR(FIND("-",U5)),AK5&gt;15),"",IF(RIGHT(U5)="*",5,MID(U5,FIND("-",U5)+1,LEN(U5)-FIND("-",U5))-0))</f>
        <v>0</v>
      </c>
      <c r="CH22" s="66" t="str">
        <f t="shared" ref="CH22:CH37" si="51">IF(OR(ISERROR(FIND("-",V5)),AL5&gt;15),"",IF(RIGHT(V5)="*",5,MID(V5,FIND("-",V5)+1,LEN(V5)-FIND("-",V5))-0))</f>
        <v/>
      </c>
      <c r="CI22" s="66" t="str">
        <f t="shared" ref="CI22:CI37" si="52">IF(OR(ISERROR(FIND("-",W5)),AM5&gt;15),"",IF(RIGHT(W5)="*",5,MID(W5,FIND("-",W5)+1,LEN(W5)-FIND("-",W5))-0))</f>
        <v/>
      </c>
      <c r="CJ22" s="66" t="str">
        <f t="shared" ref="CJ22:CJ37" si="53">IF(OR(ISERROR(FIND("-",X5)),AN5&gt;15),"",IF(RIGHT(X5)="*",5,MID(X5,FIND("-",X5)+1,LEN(X5)-FIND("-",X5))-0))</f>
        <v/>
      </c>
      <c r="CK22" s="66" t="str">
        <f t="shared" ref="CK22:CK37" si="54">IF(OR(ISERROR(FIND("-",Y5)),AO5&gt;15),"",IF(RIGHT(Y5)="*",5,MID(Y5,FIND("-",Y5)+1,LEN(Y5)-FIND("-",Y5))-0))</f>
        <v/>
      </c>
      <c r="CL22" s="66">
        <f t="shared" ref="CL22:CL37" si="55">IF(OR(ISERROR(FIND("-",Z5)),AP5&gt;15),"",IF(RIGHT(Z5)="*",5,MID(Z5,FIND("-",Z5)+1,LEN(Z5)-FIND("-",Z5))-0))</f>
        <v>1</v>
      </c>
      <c r="CM22" s="66">
        <f t="shared" ref="CM22:CM37" si="56">IF(OR(ISERROR(FIND("-",AA5)),AQ5&gt;15),"",IF(RIGHT(AA5)="*",5,MID(AA5,FIND("-",AA5)+1,LEN(AA5)-FIND("-",AA5))-0))</f>
        <v>1</v>
      </c>
      <c r="CN22" s="66" t="str">
        <f t="shared" ref="CN22:CN37" si="57">IF(OR(ISERROR(FIND("-",AB5)),AR5&gt;15),"",IF(RIGHT(AB5)="*",5,MID(AB5,FIND("-",AB5)+1,LEN(AB5)-FIND("-",AB5))-0))</f>
        <v/>
      </c>
      <c r="CO22" s="66">
        <f t="shared" ref="CO22:CO37" si="58">IF(OR(ISERROR(FIND("-",AC5)),AS5&gt;15),"",IF(RIGHT(AC5)="*",5,MID(AC5,FIND("-",AC5)+1,LEN(AC5)-FIND("-",AC5))-0))</f>
        <v>2</v>
      </c>
      <c r="CP22" s="66">
        <f t="shared" ref="CP22:CP37" si="59">IF(OR(ISERROR(FIND("-",AD5)),AT5&gt;15),"",IF(RIGHT(AD5)="*",5,MID(AD5,FIND("-",AD5)+1,LEN(AD5)-FIND("-",AD5))-0))</f>
        <v>0</v>
      </c>
      <c r="CQ22" s="66" t="str">
        <f t="shared" ref="CQ22:CQ37" si="60">IF(OR(ISERROR(FIND("-",AE5)),AU5&gt;15),"",IF(RIGHT(AE5)="*",5,MID(AE5,FIND("-",AE5)+1,LEN(AE5)-FIND("-",AE5))-0))</f>
        <v/>
      </c>
      <c r="CR22" s="81" t="str">
        <f t="shared" ref="CR22:CR36" si="61">IF(OR(ISERROR(FIND("-",AF5)),AV5&gt;15),"",IF(RIGHT(AF5)="*",5,MID(AF5,FIND("-",AF5)+1,LEN(AF5)-FIND("-",AF5))-0))</f>
        <v/>
      </c>
      <c r="CS22" s="19"/>
      <c r="CT22" s="20"/>
      <c r="CU22" s="21" t="str">
        <f t="shared" ref="CU22:CU37" si="62">IF(OR(ISERROR(FIND("-",R5)),AH5&lt;=15),"",IF(RIGHT(R5)="*",5,MID(R5,FIND("-",R5)+1,LEN(R5)-FIND("-",R5))-0))</f>
        <v/>
      </c>
      <c r="CV22" s="21" t="str">
        <f t="shared" ref="CV22:CV37" si="63">IF(OR(ISERROR(FIND("-",S5)),AI5&lt;=15),"",IF(RIGHT(S5)="*",5,MID(S5,FIND("-",S5)+1,LEN(S5)-FIND("-",S5))-0))</f>
        <v/>
      </c>
      <c r="CW22" s="21">
        <f t="shared" ref="CW22:CW37" si="64">IF(OR(ISERROR(FIND("-",T5)),AJ5&lt;=15),"",IF(RIGHT(T5)="*",5,MID(T5,FIND("-",T5)+1,LEN(T5)-FIND("-",T5))-0))</f>
        <v>2</v>
      </c>
      <c r="CX22" s="21" t="str">
        <f t="shared" ref="CX22:CX37" si="65">IF(OR(ISERROR(FIND("-",U5)),AK5&lt;=15),"",IF(RIGHT(U5)="*",5,MID(U5,FIND("-",U5)+1,LEN(U5)-FIND("-",U5))-0))</f>
        <v/>
      </c>
      <c r="CY22" s="21">
        <f t="shared" ref="CY22:CY37" si="66">IF(OR(ISERROR(FIND("-",V5)),AL5&lt;=15),"",IF(RIGHT(V5)="*",5,MID(V5,FIND("-",V5)+1,LEN(V5)-FIND("-",V5))-0))</f>
        <v>2</v>
      </c>
      <c r="CZ22" s="21">
        <f t="shared" ref="CZ22:CZ37" si="67">IF(OR(ISERROR(FIND("-",W5)),AM5&lt;=15),"",IF(RIGHT(W5)="*",5,MID(W5,FIND("-",W5)+1,LEN(W5)-FIND("-",W5))-0))</f>
        <v>0</v>
      </c>
      <c r="DA22" s="21">
        <f t="shared" ref="DA22:DA37" si="68">IF(OR(ISERROR(FIND("-",X5)),AN5&lt;=15),"",IF(RIGHT(X5)="*",5,MID(X5,FIND("-",X5)+1,LEN(X5)-FIND("-",X5))-0))</f>
        <v>1</v>
      </c>
      <c r="DB22" s="21">
        <f t="shared" ref="DB22:DB37" si="69">IF(OR(ISERROR(FIND("-",Y5)),AO5&lt;=15),"",IF(RIGHT(Y5)="*",5,MID(Y5,FIND("-",Y5)+1,LEN(Y5)-FIND("-",Y5))-0))</f>
        <v>0</v>
      </c>
      <c r="DC22" s="21" t="str">
        <f t="shared" ref="DC22:DC37" si="70">IF(OR(ISERROR(FIND("-",Z5)),AP5&lt;=15),"",IF(RIGHT(Z5)="*",5,MID(Z5,FIND("-",Z5)+1,LEN(Z5)-FIND("-",Z5))-0))</f>
        <v/>
      </c>
      <c r="DD22" s="21" t="str">
        <f t="shared" ref="DD22:DD37" si="71">IF(OR(ISERROR(FIND("-",AA5)),AQ5&lt;=15),"",IF(RIGHT(AA5)="*",5,MID(AA5,FIND("-",AA5)+1,LEN(AA5)-FIND("-",AA5))-0))</f>
        <v/>
      </c>
      <c r="DE22" s="21">
        <f t="shared" ref="DE22:DE37" si="72">IF(OR(ISERROR(FIND("-",AB5)),AR5&lt;=15),"",IF(RIGHT(AB5)="*",5,MID(AB5,FIND("-",AB5)+1,LEN(AB5)-FIND("-",AB5))-0))</f>
        <v>0</v>
      </c>
      <c r="DF22" s="21" t="str">
        <f t="shared" ref="DF22:DF37" si="73">IF(OR(ISERROR(FIND("-",AC5)),AS5&lt;=15),"",IF(RIGHT(AC5)="*",5,MID(AC5,FIND("-",AC5)+1,LEN(AC5)-FIND("-",AC5))-0))</f>
        <v/>
      </c>
      <c r="DG22" s="21" t="str">
        <f t="shared" ref="DG22:DG37" si="74">IF(OR(ISERROR(FIND("-",AD5)),AT5&lt;=15),"",IF(RIGHT(AD5)="*",5,MID(AD5,FIND("-",AD5)+1,LEN(AD5)-FIND("-",AD5))-0))</f>
        <v/>
      </c>
      <c r="DH22" s="21">
        <f t="shared" ref="DH22:DH37" si="75">IF(OR(ISERROR(FIND("-",AE5)),AU5&lt;=15),"",IF(RIGHT(AE5)="*",5,MID(AE5,FIND("-",AE5)+1,LEN(AE5)-FIND("-",AE5))-0))</f>
        <v>0</v>
      </c>
      <c r="DI22" s="22">
        <f t="shared" ref="DI22:DI36" si="76">IF(OR(ISERROR(FIND("-",AF5)),AV5&lt;=15),"",IF(RIGHT(AF5)="*",5,MID(AF5,FIND("-",AF5)+1,LEN(AF5)-FIND("-",AF5))-0))</f>
        <v>0</v>
      </c>
    </row>
    <row r="23" spans="1:113" ht="15.75" thickBot="1" x14ac:dyDescent="0.35">
      <c r="A23" s="46"/>
      <c r="D23" s="41"/>
      <c r="E23" s="40" t="str">
        <f>'export html'!V1</f>
        <v xml:space="preserve">Recentste duels op </v>
      </c>
      <c r="F23" s="221">
        <v>42078</v>
      </c>
      <c r="G23" s="222"/>
      <c r="H23" s="223"/>
      <c r="I23" s="42"/>
      <c r="J23" s="41"/>
      <c r="K23" s="43"/>
      <c r="Q23" s="73" t="s">
        <v>24</v>
      </c>
      <c r="CB23" s="13"/>
      <c r="CC23" s="67" t="str">
        <f t="shared" ref="CC23:CC37" si="77">IF(OR(ISERROR(FIND("-",Q6)),AG6&gt;15),"",IF(RIGHT(Q6)="*",5,MID(Q6,FIND("-",Q6)+1,LEN(Q6)-FIND("-",Q6))-0))</f>
        <v/>
      </c>
      <c r="CD23" s="68"/>
      <c r="CE23" s="68">
        <f t="shared" si="48"/>
        <v>0</v>
      </c>
      <c r="CF23" s="68" t="str">
        <f t="shared" si="49"/>
        <v/>
      </c>
      <c r="CG23" s="68" t="str">
        <f t="shared" si="50"/>
        <v/>
      </c>
      <c r="CH23" s="68">
        <f t="shared" si="51"/>
        <v>0</v>
      </c>
      <c r="CI23" s="68">
        <f t="shared" si="52"/>
        <v>4</v>
      </c>
      <c r="CJ23" s="68" t="str">
        <f t="shared" si="53"/>
        <v/>
      </c>
      <c r="CK23" s="68">
        <f t="shared" si="54"/>
        <v>2</v>
      </c>
      <c r="CL23" s="68">
        <f t="shared" si="55"/>
        <v>0</v>
      </c>
      <c r="CM23" s="68" t="str">
        <f t="shared" si="56"/>
        <v/>
      </c>
      <c r="CN23" s="68">
        <f t="shared" si="57"/>
        <v>1</v>
      </c>
      <c r="CO23" s="68">
        <f t="shared" si="58"/>
        <v>1</v>
      </c>
      <c r="CP23" s="68" t="str">
        <f t="shared" si="59"/>
        <v/>
      </c>
      <c r="CQ23" s="68">
        <f t="shared" si="60"/>
        <v>2</v>
      </c>
      <c r="CR23" s="82" t="str">
        <f t="shared" si="61"/>
        <v/>
      </c>
      <c r="CS23" s="19"/>
      <c r="CT23" s="23">
        <f t="shared" ref="CT23:CT37" si="78">IF(OR(ISERROR(FIND("-",Q6)),AG6&lt;=15),"",IF(RIGHT(Q6)="*",5,MID(Q6,FIND("-",Q6)+1,LEN(Q6)-FIND("-",Q6))-0))</f>
        <v>2</v>
      </c>
      <c r="CU23" s="24"/>
      <c r="CV23" s="24" t="str">
        <f t="shared" si="63"/>
        <v/>
      </c>
      <c r="CW23" s="24">
        <f t="shared" si="64"/>
        <v>3</v>
      </c>
      <c r="CX23" s="24">
        <f t="shared" si="65"/>
        <v>1</v>
      </c>
      <c r="CY23" s="24" t="str">
        <f t="shared" si="66"/>
        <v/>
      </c>
      <c r="CZ23" s="24" t="str">
        <f t="shared" si="67"/>
        <v/>
      </c>
      <c r="DA23" s="24">
        <f t="shared" si="68"/>
        <v>3</v>
      </c>
      <c r="DB23" s="24" t="str">
        <f t="shared" si="69"/>
        <v/>
      </c>
      <c r="DC23" s="24" t="str">
        <f t="shared" si="70"/>
        <v/>
      </c>
      <c r="DD23" s="24">
        <f t="shared" si="71"/>
        <v>1</v>
      </c>
      <c r="DE23" s="24" t="str">
        <f t="shared" si="72"/>
        <v/>
      </c>
      <c r="DF23" s="24" t="str">
        <f t="shared" si="73"/>
        <v/>
      </c>
      <c r="DG23" s="24">
        <f t="shared" si="74"/>
        <v>0</v>
      </c>
      <c r="DH23" s="24" t="str">
        <f t="shared" si="75"/>
        <v/>
      </c>
      <c r="DI23" s="25">
        <f t="shared" si="76"/>
        <v>2</v>
      </c>
    </row>
    <row r="24" spans="1:113" ht="7.5" customHeight="1" x14ac:dyDescent="0.3">
      <c r="A24" s="46"/>
      <c r="CB24" s="13"/>
      <c r="CC24" s="67" t="str">
        <f t="shared" si="77"/>
        <v/>
      </c>
      <c r="CD24" s="68" t="str">
        <f t="shared" si="47"/>
        <v/>
      </c>
      <c r="CE24" s="68"/>
      <c r="CF24" s="68">
        <f t="shared" si="49"/>
        <v>0</v>
      </c>
      <c r="CG24" s="68" t="str">
        <f t="shared" si="50"/>
        <v/>
      </c>
      <c r="CH24" s="68" t="str">
        <f t="shared" si="51"/>
        <v/>
      </c>
      <c r="CI24" s="68">
        <f t="shared" si="52"/>
        <v>2</v>
      </c>
      <c r="CJ24" s="68">
        <f t="shared" si="53"/>
        <v>0</v>
      </c>
      <c r="CK24" s="68" t="str">
        <f t="shared" si="54"/>
        <v/>
      </c>
      <c r="CL24" s="68" t="str">
        <f t="shared" si="55"/>
        <v/>
      </c>
      <c r="CM24" s="68" t="str">
        <f t="shared" si="56"/>
        <v/>
      </c>
      <c r="CN24" s="68">
        <f t="shared" si="57"/>
        <v>0</v>
      </c>
      <c r="CO24" s="68" t="str">
        <f t="shared" si="58"/>
        <v/>
      </c>
      <c r="CP24" s="68">
        <f t="shared" si="59"/>
        <v>2</v>
      </c>
      <c r="CQ24" s="68">
        <f t="shared" si="60"/>
        <v>3</v>
      </c>
      <c r="CR24" s="82">
        <f t="shared" si="61"/>
        <v>1</v>
      </c>
      <c r="CS24" s="19"/>
      <c r="CT24" s="23">
        <f t="shared" si="78"/>
        <v>1</v>
      </c>
      <c r="CU24" s="24">
        <f t="shared" si="62"/>
        <v>2</v>
      </c>
      <c r="CV24" s="24"/>
      <c r="CW24" s="24" t="str">
        <f t="shared" si="64"/>
        <v/>
      </c>
      <c r="CX24" s="24">
        <f t="shared" si="65"/>
        <v>0</v>
      </c>
      <c r="CY24" s="24">
        <f t="shared" si="66"/>
        <v>0</v>
      </c>
      <c r="CZ24" s="24" t="str">
        <f t="shared" si="67"/>
        <v/>
      </c>
      <c r="DA24" s="24" t="str">
        <f t="shared" si="68"/>
        <v/>
      </c>
      <c r="DB24" s="24">
        <f t="shared" si="69"/>
        <v>0</v>
      </c>
      <c r="DC24" s="24">
        <f t="shared" si="70"/>
        <v>0</v>
      </c>
      <c r="DD24" s="24">
        <f t="shared" si="71"/>
        <v>0</v>
      </c>
      <c r="DE24" s="24" t="str">
        <f t="shared" si="72"/>
        <v/>
      </c>
      <c r="DF24" s="24">
        <f t="shared" si="73"/>
        <v>1</v>
      </c>
      <c r="DG24" s="24" t="str">
        <f t="shared" si="74"/>
        <v/>
      </c>
      <c r="DH24" s="24" t="str">
        <f t="shared" si="75"/>
        <v/>
      </c>
      <c r="DI24" s="25" t="str">
        <f t="shared" si="76"/>
        <v/>
      </c>
    </row>
    <row r="25" spans="1:113" ht="15" customHeight="1" x14ac:dyDescent="0.3">
      <c r="A25" s="46"/>
      <c r="C25" s="13"/>
      <c r="D25" s="45">
        <f>IF('export html'!$T3="","",'export html'!T3)</f>
        <v>42077</v>
      </c>
      <c r="E25" s="74">
        <f>IF('export html'!$U3="","",'export html'!U3)</f>
        <v>30</v>
      </c>
      <c r="F25" s="75" t="str">
        <f>IF('export html'!$V3="","",'export html'!V3)</f>
        <v>Lierse - Kortrijk</v>
      </c>
      <c r="N25" s="10" t="str">
        <f>IF('export html'!$W3="","",'export html'!W3)</f>
        <v>0-0</v>
      </c>
      <c r="Q25" s="14">
        <f>'export html'!AG3</f>
        <v>5</v>
      </c>
      <c r="R25" s="10" t="str">
        <f>'export html'!AF3</f>
        <v>Keita Alhassane</v>
      </c>
      <c r="CB25" s="13"/>
      <c r="CC25" s="67">
        <f t="shared" si="77"/>
        <v>2</v>
      </c>
      <c r="CD25" s="68">
        <f t="shared" si="47"/>
        <v>1</v>
      </c>
      <c r="CE25" s="68" t="str">
        <f t="shared" si="48"/>
        <v/>
      </c>
      <c r="CF25" s="68"/>
      <c r="CG25" s="68" t="str">
        <f t="shared" si="50"/>
        <v/>
      </c>
      <c r="CH25" s="68">
        <f t="shared" si="51"/>
        <v>2</v>
      </c>
      <c r="CI25" s="68">
        <f t="shared" si="52"/>
        <v>0</v>
      </c>
      <c r="CJ25" s="68" t="str">
        <f t="shared" si="53"/>
        <v/>
      </c>
      <c r="CK25" s="68">
        <f t="shared" si="54"/>
        <v>0</v>
      </c>
      <c r="CL25" s="68" t="str">
        <f t="shared" si="55"/>
        <v/>
      </c>
      <c r="CM25" s="68" t="str">
        <f t="shared" si="56"/>
        <v/>
      </c>
      <c r="CN25" s="68" t="str">
        <f t="shared" si="57"/>
        <v/>
      </c>
      <c r="CO25" s="68">
        <f t="shared" si="58"/>
        <v>0</v>
      </c>
      <c r="CP25" s="68" t="str">
        <f t="shared" si="59"/>
        <v/>
      </c>
      <c r="CQ25" s="68">
        <f t="shared" si="60"/>
        <v>0</v>
      </c>
      <c r="CR25" s="82" t="str">
        <f t="shared" si="61"/>
        <v/>
      </c>
      <c r="CS25" s="19"/>
      <c r="CT25" s="23" t="str">
        <f t="shared" si="78"/>
        <v/>
      </c>
      <c r="CU25" s="24" t="str">
        <f t="shared" si="62"/>
        <v/>
      </c>
      <c r="CV25" s="24">
        <f t="shared" si="63"/>
        <v>0</v>
      </c>
      <c r="CW25" s="24"/>
      <c r="CX25" s="24">
        <f t="shared" si="65"/>
        <v>1</v>
      </c>
      <c r="CY25" s="24" t="str">
        <f t="shared" si="66"/>
        <v/>
      </c>
      <c r="CZ25" s="24" t="str">
        <f t="shared" si="67"/>
        <v/>
      </c>
      <c r="DA25" s="24">
        <f t="shared" si="68"/>
        <v>1</v>
      </c>
      <c r="DB25" s="24" t="str">
        <f t="shared" si="69"/>
        <v/>
      </c>
      <c r="DC25" s="24">
        <f t="shared" si="70"/>
        <v>1</v>
      </c>
      <c r="DD25" s="24">
        <f t="shared" si="71"/>
        <v>0</v>
      </c>
      <c r="DE25" s="24">
        <f t="shared" si="72"/>
        <v>0</v>
      </c>
      <c r="DF25" s="24" t="str">
        <f t="shared" si="73"/>
        <v/>
      </c>
      <c r="DG25" s="24">
        <f t="shared" si="74"/>
        <v>2</v>
      </c>
      <c r="DH25" s="24" t="str">
        <f t="shared" si="75"/>
        <v/>
      </c>
      <c r="DI25" s="25">
        <f t="shared" si="76"/>
        <v>1</v>
      </c>
    </row>
    <row r="26" spans="1:113" ht="15" customHeight="1" x14ac:dyDescent="0.3">
      <c r="A26" s="46"/>
      <c r="C26" s="13"/>
      <c r="D26" s="45">
        <f>IF('export html'!$T4="","",'export html'!T4)</f>
        <v>42070</v>
      </c>
      <c r="E26" s="74">
        <f>IF('export html'!$U4="","",'export html'!U4)</f>
        <v>29</v>
      </c>
      <c r="F26" s="75" t="str">
        <f>IF('export html'!$V4="","",'export html'!V4)</f>
        <v>Gent - Lierse</v>
      </c>
      <c r="N26" s="10" t="str">
        <f>IF('export html'!$W4="","",'export html'!W4)</f>
        <v>2-1</v>
      </c>
      <c r="Q26" s="14">
        <f>'export html'!AG4</f>
        <v>4</v>
      </c>
      <c r="R26" s="10" t="str">
        <f>'export html'!AF4</f>
        <v>Kasmi Faisel</v>
      </c>
      <c r="CB26" s="13"/>
      <c r="CC26" s="67" t="str">
        <f t="shared" si="77"/>
        <v/>
      </c>
      <c r="CD26" s="68">
        <f t="shared" si="47"/>
        <v>1</v>
      </c>
      <c r="CE26" s="68">
        <f t="shared" si="48"/>
        <v>1</v>
      </c>
      <c r="CF26" s="68">
        <f t="shared" si="49"/>
        <v>1</v>
      </c>
      <c r="CG26" s="68"/>
      <c r="CH26" s="68">
        <f t="shared" si="51"/>
        <v>2</v>
      </c>
      <c r="CI26" s="68" t="str">
        <f t="shared" si="52"/>
        <v/>
      </c>
      <c r="CJ26" s="68" t="str">
        <f t="shared" si="53"/>
        <v/>
      </c>
      <c r="CK26" s="68">
        <f t="shared" si="54"/>
        <v>0</v>
      </c>
      <c r="CL26" s="68">
        <f t="shared" si="55"/>
        <v>0</v>
      </c>
      <c r="CM26" s="68" t="str">
        <f t="shared" si="56"/>
        <v/>
      </c>
      <c r="CN26" s="68" t="str">
        <f t="shared" si="57"/>
        <v/>
      </c>
      <c r="CO26" s="68">
        <f t="shared" si="58"/>
        <v>2</v>
      </c>
      <c r="CP26" s="68" t="str">
        <f t="shared" si="59"/>
        <v/>
      </c>
      <c r="CQ26" s="68">
        <f t="shared" si="60"/>
        <v>1</v>
      </c>
      <c r="CR26" s="82" t="str">
        <f t="shared" si="61"/>
        <v/>
      </c>
      <c r="CS26" s="19"/>
      <c r="CT26" s="23">
        <f t="shared" si="78"/>
        <v>2</v>
      </c>
      <c r="CU26" s="24" t="str">
        <f t="shared" si="62"/>
        <v/>
      </c>
      <c r="CV26" s="24" t="str">
        <f t="shared" si="63"/>
        <v/>
      </c>
      <c r="CW26" s="24" t="str">
        <f t="shared" si="64"/>
        <v/>
      </c>
      <c r="CX26" s="24"/>
      <c r="CY26" s="24" t="str">
        <f t="shared" si="66"/>
        <v/>
      </c>
      <c r="CZ26" s="24">
        <f t="shared" si="67"/>
        <v>0</v>
      </c>
      <c r="DA26" s="24">
        <f t="shared" si="68"/>
        <v>0</v>
      </c>
      <c r="DB26" s="24" t="str">
        <f t="shared" si="69"/>
        <v/>
      </c>
      <c r="DC26" s="24" t="str">
        <f t="shared" si="70"/>
        <v/>
      </c>
      <c r="DD26" s="24">
        <f t="shared" si="71"/>
        <v>0</v>
      </c>
      <c r="DE26" s="24">
        <f t="shared" si="72"/>
        <v>1</v>
      </c>
      <c r="DF26" s="24" t="str">
        <f t="shared" si="73"/>
        <v/>
      </c>
      <c r="DG26" s="24">
        <f t="shared" si="74"/>
        <v>0</v>
      </c>
      <c r="DH26" s="24" t="str">
        <f t="shared" si="75"/>
        <v/>
      </c>
      <c r="DI26" s="25">
        <f t="shared" si="76"/>
        <v>2</v>
      </c>
    </row>
    <row r="27" spans="1:113" ht="15" customHeight="1" x14ac:dyDescent="0.3">
      <c r="A27" s="46"/>
      <c r="C27" s="13"/>
      <c r="D27" s="45">
        <f>IF('export html'!$T5="","",'export html'!T5)</f>
        <v>42063</v>
      </c>
      <c r="E27" s="74">
        <f>IF('export html'!$U5="","",'export html'!U5)</f>
        <v>28</v>
      </c>
      <c r="F27" s="75" t="str">
        <f>IF('export html'!$V5="","",'export html'!V5)</f>
        <v>Lierse - Genk</v>
      </c>
      <c r="N27" s="10" t="str">
        <f>IF('export html'!$W5="","",'export html'!W5)</f>
        <v>0-2</v>
      </c>
      <c r="Q27" s="14">
        <f>'export html'!AG5</f>
        <v>2</v>
      </c>
      <c r="R27" s="10" t="str">
        <f>'export html'!AF5</f>
        <v>Bourabia Rachid</v>
      </c>
      <c r="CB27" s="13"/>
      <c r="CC27" s="67">
        <f t="shared" si="77"/>
        <v>2</v>
      </c>
      <c r="CD27" s="68" t="str">
        <f t="shared" si="47"/>
        <v/>
      </c>
      <c r="CE27" s="68">
        <f t="shared" si="48"/>
        <v>2</v>
      </c>
      <c r="CF27" s="68" t="str">
        <f t="shared" si="49"/>
        <v/>
      </c>
      <c r="CG27" s="68" t="str">
        <f t="shared" si="50"/>
        <v/>
      </c>
      <c r="CH27" s="68"/>
      <c r="CI27" s="68">
        <f t="shared" si="52"/>
        <v>1</v>
      </c>
      <c r="CJ27" s="68">
        <f t="shared" si="53"/>
        <v>1</v>
      </c>
      <c r="CK27" s="68" t="str">
        <f t="shared" si="54"/>
        <v/>
      </c>
      <c r="CL27" s="68">
        <f t="shared" si="55"/>
        <v>1</v>
      </c>
      <c r="CM27" s="68">
        <f t="shared" si="56"/>
        <v>0</v>
      </c>
      <c r="CN27" s="68" t="str">
        <f t="shared" si="57"/>
        <v/>
      </c>
      <c r="CO27" s="68" t="str">
        <f t="shared" si="58"/>
        <v/>
      </c>
      <c r="CP27" s="68">
        <f t="shared" si="59"/>
        <v>1</v>
      </c>
      <c r="CQ27" s="68" t="str">
        <f t="shared" si="60"/>
        <v/>
      </c>
      <c r="CR27" s="82">
        <f t="shared" si="61"/>
        <v>1</v>
      </c>
      <c r="CS27" s="19"/>
      <c r="CT27" s="23" t="str">
        <f t="shared" si="78"/>
        <v/>
      </c>
      <c r="CU27" s="24">
        <f t="shared" si="62"/>
        <v>0</v>
      </c>
      <c r="CV27" s="24" t="str">
        <f t="shared" si="63"/>
        <v/>
      </c>
      <c r="CW27" s="24">
        <f t="shared" si="64"/>
        <v>1</v>
      </c>
      <c r="CX27" s="24">
        <f t="shared" si="65"/>
        <v>0</v>
      </c>
      <c r="CY27" s="24"/>
      <c r="CZ27" s="24" t="str">
        <f t="shared" si="67"/>
        <v/>
      </c>
      <c r="DA27" s="24" t="str">
        <f t="shared" si="68"/>
        <v/>
      </c>
      <c r="DB27" s="24">
        <f t="shared" si="69"/>
        <v>1</v>
      </c>
      <c r="DC27" s="24" t="str">
        <f t="shared" si="70"/>
        <v/>
      </c>
      <c r="DD27" s="24" t="str">
        <f t="shared" si="71"/>
        <v/>
      </c>
      <c r="DE27" s="24">
        <f t="shared" si="72"/>
        <v>1</v>
      </c>
      <c r="DF27" s="24">
        <f t="shared" si="73"/>
        <v>2</v>
      </c>
      <c r="DG27" s="24" t="str">
        <f t="shared" si="74"/>
        <v/>
      </c>
      <c r="DH27" s="24">
        <f t="shared" si="75"/>
        <v>0</v>
      </c>
      <c r="DI27" s="25" t="str">
        <f t="shared" si="76"/>
        <v/>
      </c>
    </row>
    <row r="28" spans="1:113" ht="15" customHeight="1" x14ac:dyDescent="0.3">
      <c r="A28" s="46"/>
      <c r="C28" s="13"/>
      <c r="D28" s="45">
        <f>IF('export html'!$T6="","",'export html'!T6)</f>
        <v>42056</v>
      </c>
      <c r="E28" s="74">
        <f>IF('export html'!$U6="","",'export html'!U6)</f>
        <v>27</v>
      </c>
      <c r="F28" s="75" t="str">
        <f>IF('export html'!$V6="","",'export html'!V6)</f>
        <v>KV Mechelen - Lierse</v>
      </c>
      <c r="N28" s="10" t="str">
        <f>IF('export html'!$W6="","",'export html'!W6)</f>
        <v>2-1</v>
      </c>
      <c r="Q28" s="14">
        <f>'export html'!AG6</f>
        <v>2</v>
      </c>
      <c r="R28" s="10" t="str">
        <f>'export html'!AF6</f>
        <v>Kouemaha Dorge</v>
      </c>
      <c r="CB28" s="13"/>
      <c r="CC28" s="67">
        <f t="shared" si="77"/>
        <v>3</v>
      </c>
      <c r="CD28" s="68" t="str">
        <f t="shared" si="47"/>
        <v/>
      </c>
      <c r="CE28" s="68" t="str">
        <f t="shared" si="48"/>
        <v/>
      </c>
      <c r="CF28" s="68" t="str">
        <f t="shared" si="49"/>
        <v/>
      </c>
      <c r="CG28" s="68">
        <f t="shared" si="50"/>
        <v>1</v>
      </c>
      <c r="CH28" s="68" t="str">
        <f t="shared" si="51"/>
        <v/>
      </c>
      <c r="CI28" s="68"/>
      <c r="CJ28" s="68" t="str">
        <f t="shared" si="53"/>
        <v/>
      </c>
      <c r="CK28" s="68">
        <f t="shared" si="54"/>
        <v>0</v>
      </c>
      <c r="CL28" s="68">
        <f t="shared" si="55"/>
        <v>3</v>
      </c>
      <c r="CM28" s="68">
        <f t="shared" si="56"/>
        <v>0</v>
      </c>
      <c r="CN28" s="68">
        <f t="shared" si="57"/>
        <v>2</v>
      </c>
      <c r="CO28" s="68">
        <f t="shared" si="58"/>
        <v>3</v>
      </c>
      <c r="CP28" s="68">
        <f t="shared" si="59"/>
        <v>1</v>
      </c>
      <c r="CQ28" s="68" t="str">
        <f t="shared" si="60"/>
        <v/>
      </c>
      <c r="CR28" s="82" t="str">
        <f t="shared" si="61"/>
        <v/>
      </c>
      <c r="CS28" s="19"/>
      <c r="CT28" s="23" t="str">
        <f t="shared" si="78"/>
        <v/>
      </c>
      <c r="CU28" s="24">
        <f t="shared" si="62"/>
        <v>0</v>
      </c>
      <c r="CV28" s="24">
        <f t="shared" si="63"/>
        <v>0</v>
      </c>
      <c r="CW28" s="24">
        <f t="shared" si="64"/>
        <v>0</v>
      </c>
      <c r="CX28" s="24" t="str">
        <f t="shared" si="65"/>
        <v/>
      </c>
      <c r="CY28" s="24">
        <f t="shared" si="66"/>
        <v>3</v>
      </c>
      <c r="CZ28" s="24"/>
      <c r="DA28" s="24">
        <f t="shared" si="68"/>
        <v>0</v>
      </c>
      <c r="DB28" s="24" t="str">
        <f t="shared" si="69"/>
        <v/>
      </c>
      <c r="DC28" s="24" t="str">
        <f t="shared" si="70"/>
        <v/>
      </c>
      <c r="DD28" s="24" t="str">
        <f t="shared" si="71"/>
        <v/>
      </c>
      <c r="DE28" s="24" t="str">
        <f t="shared" si="72"/>
        <v/>
      </c>
      <c r="DF28" s="24" t="str">
        <f t="shared" si="73"/>
        <v/>
      </c>
      <c r="DG28" s="24" t="str">
        <f t="shared" si="74"/>
        <v/>
      </c>
      <c r="DH28" s="24">
        <f t="shared" si="75"/>
        <v>0</v>
      </c>
      <c r="DI28" s="25">
        <f t="shared" si="76"/>
        <v>1</v>
      </c>
    </row>
    <row r="29" spans="1:113" ht="15" customHeight="1" x14ac:dyDescent="0.3">
      <c r="A29" s="46"/>
      <c r="C29" s="13"/>
      <c r="D29" s="45">
        <f>IF('export html'!$T7="","",'export html'!T7)</f>
        <v>42049</v>
      </c>
      <c r="E29" s="74">
        <f>IF('export html'!$U7="","",'export html'!U7)</f>
        <v>26</v>
      </c>
      <c r="F29" s="75" t="str">
        <f>IF('export html'!$V7="","",'export html'!V7)</f>
        <v>Lierse - Cercle Brugge</v>
      </c>
      <c r="N29" s="10" t="str">
        <f>IF('export html'!$W7="","",'export html'!W7)</f>
        <v>2-1</v>
      </c>
      <c r="Q29" s="14">
        <f>'export html'!AG7</f>
        <v>2</v>
      </c>
      <c r="R29" s="10" t="str">
        <f>'export html'!AF7</f>
        <v>Ngawa Pierre-Yves</v>
      </c>
      <c r="CB29" s="13"/>
      <c r="CC29" s="67">
        <f t="shared" si="77"/>
        <v>1</v>
      </c>
      <c r="CD29" s="68">
        <f t="shared" si="47"/>
        <v>1</v>
      </c>
      <c r="CE29" s="68" t="str">
        <f t="shared" si="48"/>
        <v/>
      </c>
      <c r="CF29" s="68">
        <f t="shared" si="49"/>
        <v>1</v>
      </c>
      <c r="CG29" s="68">
        <f t="shared" si="50"/>
        <v>1</v>
      </c>
      <c r="CH29" s="68" t="str">
        <f t="shared" si="51"/>
        <v/>
      </c>
      <c r="CI29" s="68">
        <f t="shared" si="52"/>
        <v>2</v>
      </c>
      <c r="CJ29" s="68"/>
      <c r="CK29" s="68" t="str">
        <f t="shared" si="54"/>
        <v/>
      </c>
      <c r="CL29" s="68" t="str">
        <f t="shared" si="55"/>
        <v/>
      </c>
      <c r="CM29" s="68" t="str">
        <f t="shared" si="56"/>
        <v/>
      </c>
      <c r="CN29" s="68" t="str">
        <f t="shared" si="57"/>
        <v/>
      </c>
      <c r="CO29" s="68" t="str">
        <f t="shared" si="58"/>
        <v/>
      </c>
      <c r="CP29" s="68">
        <f t="shared" si="59"/>
        <v>0</v>
      </c>
      <c r="CQ29" s="68">
        <f t="shared" si="60"/>
        <v>2</v>
      </c>
      <c r="CR29" s="82">
        <f t="shared" si="61"/>
        <v>1</v>
      </c>
      <c r="CS29" s="19"/>
      <c r="CT29" s="23" t="str">
        <f t="shared" si="78"/>
        <v/>
      </c>
      <c r="CU29" s="24" t="str">
        <f t="shared" si="62"/>
        <v/>
      </c>
      <c r="CV29" s="24">
        <f t="shared" si="63"/>
        <v>0</v>
      </c>
      <c r="CW29" s="24" t="str">
        <f t="shared" si="64"/>
        <v/>
      </c>
      <c r="CX29" s="24" t="str">
        <f t="shared" si="65"/>
        <v/>
      </c>
      <c r="CY29" s="24">
        <f t="shared" si="66"/>
        <v>0</v>
      </c>
      <c r="CZ29" s="24" t="str">
        <f t="shared" si="67"/>
        <v/>
      </c>
      <c r="DA29" s="24"/>
      <c r="DB29" s="24">
        <f t="shared" si="69"/>
        <v>1</v>
      </c>
      <c r="DC29" s="24">
        <f t="shared" si="70"/>
        <v>1</v>
      </c>
      <c r="DD29" s="24">
        <f t="shared" si="71"/>
        <v>0</v>
      </c>
      <c r="DE29" s="24">
        <f t="shared" si="72"/>
        <v>0</v>
      </c>
      <c r="DF29" s="24">
        <f t="shared" si="73"/>
        <v>0</v>
      </c>
      <c r="DG29" s="24" t="str">
        <f t="shared" si="74"/>
        <v/>
      </c>
      <c r="DH29" s="24" t="str">
        <f t="shared" si="75"/>
        <v/>
      </c>
      <c r="DI29" s="25" t="str">
        <f t="shared" si="76"/>
        <v/>
      </c>
    </row>
    <row r="30" spans="1:113" ht="15" customHeight="1" thickBot="1" x14ac:dyDescent="0.35">
      <c r="A30" s="46"/>
      <c r="CB30" s="13"/>
      <c r="CC30" s="67">
        <f t="shared" si="77"/>
        <v>2</v>
      </c>
      <c r="CD30" s="68" t="str">
        <f t="shared" si="47"/>
        <v/>
      </c>
      <c r="CE30" s="68">
        <f t="shared" si="48"/>
        <v>2</v>
      </c>
      <c r="CF30" s="68" t="str">
        <f t="shared" si="49"/>
        <v/>
      </c>
      <c r="CG30" s="68" t="str">
        <f t="shared" si="50"/>
        <v/>
      </c>
      <c r="CH30" s="68">
        <f t="shared" si="51"/>
        <v>1</v>
      </c>
      <c r="CI30" s="68" t="str">
        <f t="shared" si="52"/>
        <v/>
      </c>
      <c r="CJ30" s="68">
        <f t="shared" si="53"/>
        <v>1</v>
      </c>
      <c r="CK30" s="68"/>
      <c r="CL30" s="68" t="str">
        <f t="shared" si="55"/>
        <v/>
      </c>
      <c r="CM30" s="68">
        <f t="shared" si="56"/>
        <v>2</v>
      </c>
      <c r="CN30" s="68">
        <f t="shared" si="57"/>
        <v>0</v>
      </c>
      <c r="CO30" s="68" t="str">
        <f t="shared" si="58"/>
        <v/>
      </c>
      <c r="CP30" s="68" t="str">
        <f t="shared" si="59"/>
        <v/>
      </c>
      <c r="CQ30" s="68" t="str">
        <f t="shared" si="60"/>
        <v/>
      </c>
      <c r="CR30" s="82">
        <f t="shared" si="61"/>
        <v>1</v>
      </c>
      <c r="CS30" s="19"/>
      <c r="CT30" s="23" t="str">
        <f t="shared" si="78"/>
        <v/>
      </c>
      <c r="CU30" s="24">
        <f t="shared" si="62"/>
        <v>1</v>
      </c>
      <c r="CV30" s="24" t="str">
        <f t="shared" si="63"/>
        <v/>
      </c>
      <c r="CW30" s="24">
        <f t="shared" si="64"/>
        <v>6</v>
      </c>
      <c r="CX30" s="24">
        <f t="shared" si="65"/>
        <v>2</v>
      </c>
      <c r="CY30" s="24" t="str">
        <f t="shared" si="66"/>
        <v/>
      </c>
      <c r="CZ30" s="24">
        <f t="shared" si="67"/>
        <v>0</v>
      </c>
      <c r="DA30" s="24" t="str">
        <f t="shared" si="68"/>
        <v/>
      </c>
      <c r="DB30" s="24"/>
      <c r="DC30" s="24">
        <f t="shared" si="70"/>
        <v>1</v>
      </c>
      <c r="DD30" s="24" t="str">
        <f t="shared" si="71"/>
        <v/>
      </c>
      <c r="DE30" s="24" t="str">
        <f t="shared" si="72"/>
        <v/>
      </c>
      <c r="DF30" s="24">
        <f t="shared" si="73"/>
        <v>3</v>
      </c>
      <c r="DG30" s="24">
        <f t="shared" si="74"/>
        <v>1</v>
      </c>
      <c r="DH30" s="24">
        <f t="shared" si="75"/>
        <v>3</v>
      </c>
      <c r="DI30" s="25" t="str">
        <f t="shared" si="76"/>
        <v/>
      </c>
    </row>
    <row r="31" spans="1:113" ht="19.5" customHeight="1" thickBot="1" x14ac:dyDescent="0.35">
      <c r="A31" s="46"/>
      <c r="D31" s="78" t="str">
        <f>'export html'!C2</f>
        <v>Matchen van speeldag 30</v>
      </c>
      <c r="E31" s="79"/>
      <c r="F31" s="69">
        <v>30</v>
      </c>
      <c r="G31" s="70"/>
      <c r="H31" s="71"/>
      <c r="J31" s="76"/>
      <c r="K31" s="77"/>
      <c r="CB31" s="13"/>
      <c r="CC31" s="67" t="str">
        <f t="shared" si="77"/>
        <v/>
      </c>
      <c r="CD31" s="68" t="str">
        <f t="shared" si="47"/>
        <v/>
      </c>
      <c r="CE31" s="68">
        <f t="shared" si="48"/>
        <v>2</v>
      </c>
      <c r="CF31" s="68">
        <f t="shared" si="49"/>
        <v>3</v>
      </c>
      <c r="CG31" s="68" t="str">
        <f t="shared" si="50"/>
        <v/>
      </c>
      <c r="CH31" s="68" t="str">
        <f t="shared" si="51"/>
        <v/>
      </c>
      <c r="CI31" s="68" t="str">
        <f t="shared" si="52"/>
        <v/>
      </c>
      <c r="CJ31" s="68">
        <f t="shared" si="53"/>
        <v>2</v>
      </c>
      <c r="CK31" s="68">
        <f t="shared" si="54"/>
        <v>0</v>
      </c>
      <c r="CL31" s="68"/>
      <c r="CM31" s="68" t="str">
        <f t="shared" si="56"/>
        <v/>
      </c>
      <c r="CN31" s="68">
        <f t="shared" si="57"/>
        <v>1</v>
      </c>
      <c r="CO31" s="68">
        <f t="shared" si="58"/>
        <v>1</v>
      </c>
      <c r="CP31" s="68">
        <f t="shared" si="59"/>
        <v>0</v>
      </c>
      <c r="CQ31" s="68" t="str">
        <f t="shared" si="60"/>
        <v/>
      </c>
      <c r="CR31" s="82">
        <f t="shared" si="61"/>
        <v>1</v>
      </c>
      <c r="CS31" s="19"/>
      <c r="CT31" s="23">
        <f t="shared" si="78"/>
        <v>2</v>
      </c>
      <c r="CU31" s="24">
        <f t="shared" si="62"/>
        <v>0</v>
      </c>
      <c r="CV31" s="24" t="str">
        <f t="shared" si="63"/>
        <v/>
      </c>
      <c r="CW31" s="24" t="str">
        <f t="shared" si="64"/>
        <v/>
      </c>
      <c r="CX31" s="24">
        <f t="shared" si="65"/>
        <v>1</v>
      </c>
      <c r="CY31" s="24">
        <f t="shared" si="66"/>
        <v>3</v>
      </c>
      <c r="CZ31" s="24">
        <f t="shared" si="67"/>
        <v>2</v>
      </c>
      <c r="DA31" s="24" t="str">
        <f t="shared" si="68"/>
        <v/>
      </c>
      <c r="DB31" s="24" t="str">
        <f t="shared" si="69"/>
        <v/>
      </c>
      <c r="DC31" s="24"/>
      <c r="DD31" s="24">
        <f t="shared" si="71"/>
        <v>0</v>
      </c>
      <c r="DE31" s="24" t="str">
        <f t="shared" si="72"/>
        <v/>
      </c>
      <c r="DF31" s="24" t="str">
        <f t="shared" si="73"/>
        <v/>
      </c>
      <c r="DG31" s="24" t="str">
        <f t="shared" si="74"/>
        <v/>
      </c>
      <c r="DH31" s="24">
        <f t="shared" si="75"/>
        <v>0</v>
      </c>
      <c r="DI31" s="25" t="str">
        <f t="shared" si="76"/>
        <v/>
      </c>
    </row>
    <row r="32" spans="1:113" ht="7.5" customHeight="1" x14ac:dyDescent="0.3">
      <c r="A32" s="46"/>
      <c r="E32" s="44"/>
      <c r="F32" s="44"/>
      <c r="G32" s="44"/>
      <c r="H32" s="44"/>
      <c r="I32" s="44"/>
      <c r="CB32" s="13"/>
      <c r="CC32" s="67" t="str">
        <f t="shared" si="77"/>
        <v/>
      </c>
      <c r="CD32" s="68">
        <f t="shared" si="47"/>
        <v>0</v>
      </c>
      <c r="CE32" s="68">
        <f t="shared" si="48"/>
        <v>2</v>
      </c>
      <c r="CF32" s="68">
        <f t="shared" si="49"/>
        <v>4</v>
      </c>
      <c r="CG32" s="68">
        <f t="shared" si="50"/>
        <v>2</v>
      </c>
      <c r="CH32" s="68" t="str">
        <f t="shared" si="51"/>
        <v/>
      </c>
      <c r="CI32" s="68" t="str">
        <f t="shared" si="52"/>
        <v/>
      </c>
      <c r="CJ32" s="68">
        <f t="shared" si="53"/>
        <v>0</v>
      </c>
      <c r="CK32" s="68" t="str">
        <f t="shared" si="54"/>
        <v/>
      </c>
      <c r="CL32" s="68">
        <f t="shared" si="55"/>
        <v>2</v>
      </c>
      <c r="CM32" s="68"/>
      <c r="CN32" s="68" t="str">
        <f t="shared" si="57"/>
        <v/>
      </c>
      <c r="CO32" s="68">
        <f t="shared" si="58"/>
        <v>2</v>
      </c>
      <c r="CP32" s="68">
        <f t="shared" si="59"/>
        <v>0</v>
      </c>
      <c r="CQ32" s="68" t="str">
        <f t="shared" si="60"/>
        <v/>
      </c>
      <c r="CR32" s="82" t="str">
        <f t="shared" si="61"/>
        <v/>
      </c>
      <c r="CS32" s="19"/>
      <c r="CT32" s="23">
        <f t="shared" si="78"/>
        <v>2</v>
      </c>
      <c r="CU32" s="24" t="str">
        <f t="shared" si="62"/>
        <v/>
      </c>
      <c r="CV32" s="24" t="str">
        <f t="shared" si="63"/>
        <v/>
      </c>
      <c r="CW32" s="24" t="str">
        <f t="shared" si="64"/>
        <v/>
      </c>
      <c r="CX32" s="24" t="str">
        <f t="shared" si="65"/>
        <v/>
      </c>
      <c r="CY32" s="24">
        <f t="shared" si="66"/>
        <v>3</v>
      </c>
      <c r="CZ32" s="24">
        <f t="shared" si="67"/>
        <v>3</v>
      </c>
      <c r="DA32" s="24" t="str">
        <f t="shared" si="68"/>
        <v/>
      </c>
      <c r="DB32" s="24">
        <f t="shared" si="69"/>
        <v>1</v>
      </c>
      <c r="DC32" s="24" t="str">
        <f t="shared" si="70"/>
        <v/>
      </c>
      <c r="DD32" s="24"/>
      <c r="DE32" s="24">
        <f t="shared" si="72"/>
        <v>1</v>
      </c>
      <c r="DF32" s="24" t="str">
        <f t="shared" si="73"/>
        <v/>
      </c>
      <c r="DG32" s="24" t="str">
        <f t="shared" si="74"/>
        <v/>
      </c>
      <c r="DH32" s="24">
        <f t="shared" si="75"/>
        <v>0</v>
      </c>
      <c r="DI32" s="25">
        <f t="shared" si="76"/>
        <v>1</v>
      </c>
    </row>
    <row r="33" spans="1:113" ht="15" customHeight="1" x14ac:dyDescent="0.3">
      <c r="A33" s="46"/>
      <c r="D33" s="45">
        <f>IF('export html'!A3="","",'export html'!A3)</f>
        <v>42077</v>
      </c>
      <c r="E33" s="74">
        <f>IF('export html'!B3="","",'export html'!B3)</f>
        <v>30</v>
      </c>
      <c r="F33" s="37" t="str">
        <f>IF('export html'!C3="","",'export html'!C3)</f>
        <v>Anderlecht - Gent</v>
      </c>
      <c r="G33" s="37"/>
      <c r="H33" s="37"/>
      <c r="I33" s="37"/>
      <c r="J33" s="37"/>
      <c r="N33" s="10" t="str">
        <f>IF('export html'!D3="","",'export html'!D3)</f>
        <v>1-2</v>
      </c>
      <c r="CB33" s="13"/>
      <c r="CC33" s="67">
        <f t="shared" si="77"/>
        <v>2</v>
      </c>
      <c r="CD33" s="68" t="str">
        <f t="shared" si="47"/>
        <v/>
      </c>
      <c r="CE33" s="68" t="str">
        <f t="shared" si="48"/>
        <v/>
      </c>
      <c r="CF33" s="68">
        <f t="shared" si="49"/>
        <v>2</v>
      </c>
      <c r="CG33" s="68">
        <f t="shared" si="50"/>
        <v>1</v>
      </c>
      <c r="CH33" s="68">
        <f t="shared" si="51"/>
        <v>3</v>
      </c>
      <c r="CI33" s="68" t="str">
        <f t="shared" si="52"/>
        <v/>
      </c>
      <c r="CJ33" s="68">
        <f t="shared" si="53"/>
        <v>0</v>
      </c>
      <c r="CK33" s="68" t="str">
        <f t="shared" si="54"/>
        <v/>
      </c>
      <c r="CL33" s="68" t="str">
        <f t="shared" si="55"/>
        <v/>
      </c>
      <c r="CM33" s="68">
        <f t="shared" si="56"/>
        <v>0</v>
      </c>
      <c r="CN33" s="68"/>
      <c r="CO33" s="68" t="str">
        <f t="shared" si="58"/>
        <v/>
      </c>
      <c r="CP33" s="68" t="str">
        <f t="shared" si="59"/>
        <v/>
      </c>
      <c r="CQ33" s="68">
        <f t="shared" si="60"/>
        <v>0</v>
      </c>
      <c r="CR33" s="82">
        <f t="shared" si="61"/>
        <v>3</v>
      </c>
      <c r="CS33" s="19"/>
      <c r="CT33" s="23" t="str">
        <f t="shared" si="78"/>
        <v/>
      </c>
      <c r="CU33" s="24">
        <f t="shared" si="62"/>
        <v>0</v>
      </c>
      <c r="CV33" s="24">
        <f t="shared" si="63"/>
        <v>3</v>
      </c>
      <c r="CW33" s="24" t="str">
        <f t="shared" si="64"/>
        <v/>
      </c>
      <c r="CX33" s="24" t="str">
        <f t="shared" si="65"/>
        <v/>
      </c>
      <c r="CY33" s="24" t="str">
        <f t="shared" si="66"/>
        <v/>
      </c>
      <c r="CZ33" s="24">
        <f t="shared" si="67"/>
        <v>7</v>
      </c>
      <c r="DA33" s="24" t="str">
        <f t="shared" si="68"/>
        <v/>
      </c>
      <c r="DB33" s="24">
        <f t="shared" si="69"/>
        <v>1</v>
      </c>
      <c r="DC33" s="24">
        <f t="shared" si="70"/>
        <v>1</v>
      </c>
      <c r="DD33" s="24" t="str">
        <f t="shared" si="71"/>
        <v/>
      </c>
      <c r="DE33" s="24"/>
      <c r="DF33" s="24">
        <f t="shared" si="73"/>
        <v>2</v>
      </c>
      <c r="DG33" s="24">
        <f t="shared" si="74"/>
        <v>3</v>
      </c>
      <c r="DH33" s="24" t="str">
        <f t="shared" si="75"/>
        <v/>
      </c>
      <c r="DI33" s="25" t="str">
        <f t="shared" si="76"/>
        <v/>
      </c>
    </row>
    <row r="34" spans="1:113" ht="15" customHeight="1" x14ac:dyDescent="0.3">
      <c r="A34" s="46"/>
      <c r="D34" s="45">
        <f>IF('export html'!A4="","",'export html'!A4)</f>
        <v>42077</v>
      </c>
      <c r="E34" s="74">
        <f>IF('export html'!B4="","",'export html'!B4)</f>
        <v>30</v>
      </c>
      <c r="F34" s="37" t="str">
        <f>IF('export html'!C4="","",'export html'!C4)</f>
        <v>Cercle Brugge - KV Mechelen</v>
      </c>
      <c r="G34" s="37"/>
      <c r="H34" s="37"/>
      <c r="I34" s="37"/>
      <c r="J34" s="37"/>
      <c r="N34" s="10" t="str">
        <f>IF('export html'!D4="","",'export html'!D4)</f>
        <v>2-3</v>
      </c>
      <c r="CB34" s="13"/>
      <c r="CC34" s="67" t="str">
        <f t="shared" si="77"/>
        <v/>
      </c>
      <c r="CD34" s="68" t="str">
        <f t="shared" si="47"/>
        <v/>
      </c>
      <c r="CE34" s="68">
        <f t="shared" si="48"/>
        <v>0</v>
      </c>
      <c r="CF34" s="68" t="str">
        <f t="shared" si="49"/>
        <v/>
      </c>
      <c r="CG34" s="68" t="str">
        <f t="shared" si="50"/>
        <v/>
      </c>
      <c r="CH34" s="68">
        <f t="shared" si="51"/>
        <v>1</v>
      </c>
      <c r="CI34" s="68" t="str">
        <f t="shared" si="52"/>
        <v/>
      </c>
      <c r="CJ34" s="68">
        <f t="shared" si="53"/>
        <v>0</v>
      </c>
      <c r="CK34" s="68">
        <f t="shared" si="54"/>
        <v>2</v>
      </c>
      <c r="CL34" s="68" t="str">
        <f t="shared" si="55"/>
        <v/>
      </c>
      <c r="CM34" s="68" t="str">
        <f t="shared" si="56"/>
        <v/>
      </c>
      <c r="CN34" s="68">
        <f t="shared" si="57"/>
        <v>5</v>
      </c>
      <c r="CO34" s="68"/>
      <c r="CP34" s="68" t="str">
        <f t="shared" si="59"/>
        <v/>
      </c>
      <c r="CQ34" s="68">
        <f t="shared" si="60"/>
        <v>2</v>
      </c>
      <c r="CR34" s="82">
        <f t="shared" si="61"/>
        <v>2</v>
      </c>
      <c r="CS34" s="19"/>
      <c r="CT34" s="23">
        <f t="shared" si="78"/>
        <v>0</v>
      </c>
      <c r="CU34" s="24">
        <f t="shared" si="62"/>
        <v>0</v>
      </c>
      <c r="CV34" s="24" t="str">
        <f t="shared" si="63"/>
        <v/>
      </c>
      <c r="CW34" s="24">
        <f t="shared" si="64"/>
        <v>3</v>
      </c>
      <c r="CX34" s="24">
        <f t="shared" si="65"/>
        <v>0</v>
      </c>
      <c r="CY34" s="24" t="str">
        <f t="shared" si="66"/>
        <v/>
      </c>
      <c r="CZ34" s="24">
        <f t="shared" si="67"/>
        <v>2</v>
      </c>
      <c r="DA34" s="24" t="str">
        <f t="shared" si="68"/>
        <v/>
      </c>
      <c r="DB34" s="24" t="str">
        <f t="shared" si="69"/>
        <v/>
      </c>
      <c r="DC34" s="24">
        <f t="shared" si="70"/>
        <v>0</v>
      </c>
      <c r="DD34" s="24">
        <f t="shared" si="71"/>
        <v>0</v>
      </c>
      <c r="DE34" s="24" t="str">
        <f t="shared" si="72"/>
        <v/>
      </c>
      <c r="DF34" s="24"/>
      <c r="DG34" s="24">
        <f t="shared" si="74"/>
        <v>2</v>
      </c>
      <c r="DH34" s="24" t="str">
        <f t="shared" si="75"/>
        <v/>
      </c>
      <c r="DI34" s="25" t="str">
        <f t="shared" si="76"/>
        <v/>
      </c>
    </row>
    <row r="35" spans="1:113" ht="15" customHeight="1" x14ac:dyDescent="0.3">
      <c r="A35" s="46"/>
      <c r="D35" s="45">
        <f>IF('export html'!A5="","",'export html'!A5)</f>
        <v>42077</v>
      </c>
      <c r="E35" s="74">
        <f>IF('export html'!B5="","",'export html'!B5)</f>
        <v>30</v>
      </c>
      <c r="F35" s="37" t="str">
        <f>IF('export html'!C5="","",'export html'!C5)</f>
        <v>Charleroi - Moeskroen-Peruwelz</v>
      </c>
      <c r="G35" s="37"/>
      <c r="H35" s="37"/>
      <c r="I35" s="37"/>
      <c r="J35" s="37"/>
      <c r="N35" s="10" t="str">
        <f>IF('export html'!D5="","",'export html'!D5)</f>
        <v>2-0</v>
      </c>
      <c r="CB35" s="13"/>
      <c r="CC35" s="67" t="str">
        <f t="shared" si="77"/>
        <v/>
      </c>
      <c r="CD35" s="68">
        <f t="shared" si="47"/>
        <v>0</v>
      </c>
      <c r="CE35" s="68" t="str">
        <f t="shared" si="48"/>
        <v/>
      </c>
      <c r="CF35" s="68">
        <f t="shared" si="49"/>
        <v>2</v>
      </c>
      <c r="CG35" s="68">
        <f t="shared" si="50"/>
        <v>1</v>
      </c>
      <c r="CH35" s="68" t="str">
        <f t="shared" si="51"/>
        <v/>
      </c>
      <c r="CI35" s="68" t="str">
        <f t="shared" si="52"/>
        <v/>
      </c>
      <c r="CJ35" s="68" t="str">
        <f t="shared" si="53"/>
        <v/>
      </c>
      <c r="CK35" s="68">
        <f t="shared" si="54"/>
        <v>0</v>
      </c>
      <c r="CL35" s="68" t="str">
        <f t="shared" si="55"/>
        <v/>
      </c>
      <c r="CM35" s="68" t="str">
        <f t="shared" si="56"/>
        <v/>
      </c>
      <c r="CN35" s="68">
        <f t="shared" si="57"/>
        <v>0</v>
      </c>
      <c r="CO35" s="68">
        <f t="shared" si="58"/>
        <v>2</v>
      </c>
      <c r="CP35" s="68"/>
      <c r="CQ35" s="68">
        <f t="shared" si="60"/>
        <v>1</v>
      </c>
      <c r="CR35" s="82" t="str">
        <f t="shared" si="61"/>
        <v/>
      </c>
      <c r="CS35" s="19"/>
      <c r="CT35" s="23">
        <f t="shared" si="78"/>
        <v>2</v>
      </c>
      <c r="CU35" s="24" t="str">
        <f t="shared" si="62"/>
        <v/>
      </c>
      <c r="CV35" s="24">
        <f t="shared" si="63"/>
        <v>3</v>
      </c>
      <c r="CW35" s="24" t="str">
        <f t="shared" si="64"/>
        <v/>
      </c>
      <c r="CX35" s="24" t="str">
        <f t="shared" si="65"/>
        <v/>
      </c>
      <c r="CY35" s="24">
        <f t="shared" si="66"/>
        <v>1</v>
      </c>
      <c r="CZ35" s="24">
        <f t="shared" si="67"/>
        <v>0</v>
      </c>
      <c r="DA35" s="24">
        <f t="shared" si="68"/>
        <v>2</v>
      </c>
      <c r="DB35" s="24" t="str">
        <f t="shared" si="69"/>
        <v/>
      </c>
      <c r="DC35" s="24">
        <f t="shared" si="70"/>
        <v>0</v>
      </c>
      <c r="DD35" s="24">
        <f t="shared" si="71"/>
        <v>1</v>
      </c>
      <c r="DE35" s="24" t="str">
        <f t="shared" si="72"/>
        <v/>
      </c>
      <c r="DF35" s="24" t="str">
        <f t="shared" si="73"/>
        <v/>
      </c>
      <c r="DG35" s="24"/>
      <c r="DH35" s="24" t="str">
        <f t="shared" si="75"/>
        <v/>
      </c>
      <c r="DI35" s="25">
        <f t="shared" si="76"/>
        <v>3</v>
      </c>
    </row>
    <row r="36" spans="1:113" ht="15" customHeight="1" x14ac:dyDescent="0.3">
      <c r="A36" s="46"/>
      <c r="D36" s="45">
        <f>IF('export html'!A6="","",'export html'!A6)</f>
        <v>42077</v>
      </c>
      <c r="E36" s="74">
        <f>IF('export html'!B6="","",'export html'!B6)</f>
        <v>30</v>
      </c>
      <c r="F36" s="37" t="str">
        <f>IF('export html'!C6="","",'export html'!C6)</f>
        <v>Lierse - Kortrijk</v>
      </c>
      <c r="G36" s="37"/>
      <c r="H36" s="37"/>
      <c r="I36" s="37"/>
      <c r="J36" s="37"/>
      <c r="N36" s="10" t="str">
        <f>IF('export html'!D6="","",'export html'!D6)</f>
        <v>0-0</v>
      </c>
      <c r="CB36" s="13"/>
      <c r="CC36" s="67">
        <f t="shared" si="77"/>
        <v>2</v>
      </c>
      <c r="CD36" s="68" t="str">
        <f t="shared" si="47"/>
        <v/>
      </c>
      <c r="CE36" s="68" t="str">
        <f t="shared" si="48"/>
        <v/>
      </c>
      <c r="CF36" s="68" t="str">
        <f t="shared" si="49"/>
        <v/>
      </c>
      <c r="CG36" s="68" t="str">
        <f t="shared" si="50"/>
        <v/>
      </c>
      <c r="CH36" s="68">
        <f t="shared" si="51"/>
        <v>0</v>
      </c>
      <c r="CI36" s="68">
        <f t="shared" si="52"/>
        <v>1</v>
      </c>
      <c r="CJ36" s="68" t="str">
        <f t="shared" si="53"/>
        <v/>
      </c>
      <c r="CK36" s="68">
        <f t="shared" si="54"/>
        <v>1</v>
      </c>
      <c r="CL36" s="68">
        <f t="shared" si="55"/>
        <v>0</v>
      </c>
      <c r="CM36" s="68">
        <f t="shared" si="56"/>
        <v>3</v>
      </c>
      <c r="CN36" s="68" t="str">
        <f t="shared" si="57"/>
        <v/>
      </c>
      <c r="CO36" s="68" t="str">
        <f t="shared" si="58"/>
        <v/>
      </c>
      <c r="CP36" s="68" t="str">
        <f t="shared" si="59"/>
        <v/>
      </c>
      <c r="CQ36" s="68"/>
      <c r="CR36" s="82">
        <f t="shared" si="61"/>
        <v>2</v>
      </c>
      <c r="CS36" s="19"/>
      <c r="CT36" s="23" t="str">
        <f t="shared" si="78"/>
        <v/>
      </c>
      <c r="CU36" s="24">
        <f t="shared" si="62"/>
        <v>0</v>
      </c>
      <c r="CV36" s="24">
        <f t="shared" si="63"/>
        <v>3</v>
      </c>
      <c r="CW36" s="24">
        <f t="shared" si="64"/>
        <v>3</v>
      </c>
      <c r="CX36" s="24">
        <f t="shared" si="65"/>
        <v>2</v>
      </c>
      <c r="CY36" s="24" t="str">
        <f t="shared" si="66"/>
        <v/>
      </c>
      <c r="CZ36" s="24" t="str">
        <f t="shared" si="67"/>
        <v/>
      </c>
      <c r="DA36" s="24">
        <f t="shared" si="68"/>
        <v>1</v>
      </c>
      <c r="DB36" s="24" t="str">
        <f t="shared" si="69"/>
        <v/>
      </c>
      <c r="DC36" s="24" t="str">
        <f t="shared" si="70"/>
        <v/>
      </c>
      <c r="DD36" s="24" t="str">
        <f t="shared" si="71"/>
        <v/>
      </c>
      <c r="DE36" s="24">
        <f t="shared" si="72"/>
        <v>0</v>
      </c>
      <c r="DF36" s="24">
        <f t="shared" si="73"/>
        <v>1</v>
      </c>
      <c r="DG36" s="24">
        <f t="shared" si="74"/>
        <v>2</v>
      </c>
      <c r="DH36" s="24"/>
      <c r="DI36" s="25" t="str">
        <f t="shared" si="76"/>
        <v/>
      </c>
    </row>
    <row r="37" spans="1:113" ht="15" customHeight="1" thickBot="1" x14ac:dyDescent="0.35">
      <c r="A37" s="46"/>
      <c r="D37" s="45">
        <f>IF('export html'!A7="","",'export html'!A7)</f>
        <v>42077</v>
      </c>
      <c r="E37" s="74">
        <f>IF('export html'!B7="","",'export html'!B7)</f>
        <v>30</v>
      </c>
      <c r="F37" s="37" t="str">
        <f>IF('export html'!C7="","",'export html'!C7)</f>
        <v>Standard - Genk</v>
      </c>
      <c r="G37" s="37"/>
      <c r="H37" s="37"/>
      <c r="I37" s="37"/>
      <c r="J37" s="37"/>
      <c r="N37" s="10" t="str">
        <f>IF('export html'!D7="","",'export html'!D7)</f>
        <v>1-0</v>
      </c>
      <c r="CB37" s="13"/>
      <c r="CC37" s="83">
        <f t="shared" si="77"/>
        <v>2</v>
      </c>
      <c r="CD37" s="84">
        <f t="shared" si="47"/>
        <v>2</v>
      </c>
      <c r="CE37" s="84" t="str">
        <f t="shared" si="48"/>
        <v/>
      </c>
      <c r="CF37" s="84">
        <f t="shared" si="49"/>
        <v>1</v>
      </c>
      <c r="CG37" s="84">
        <f t="shared" si="50"/>
        <v>0</v>
      </c>
      <c r="CH37" s="84" t="str">
        <f t="shared" si="51"/>
        <v/>
      </c>
      <c r="CI37" s="84">
        <f t="shared" si="52"/>
        <v>0</v>
      </c>
      <c r="CJ37" s="84" t="str">
        <f t="shared" si="53"/>
        <v/>
      </c>
      <c r="CK37" s="84" t="str">
        <f t="shared" si="54"/>
        <v/>
      </c>
      <c r="CL37" s="84" t="str">
        <f t="shared" si="55"/>
        <v/>
      </c>
      <c r="CM37" s="84">
        <f t="shared" si="56"/>
        <v>1</v>
      </c>
      <c r="CN37" s="84" t="str">
        <f t="shared" si="57"/>
        <v/>
      </c>
      <c r="CO37" s="84" t="str">
        <f t="shared" si="58"/>
        <v/>
      </c>
      <c r="CP37" s="84">
        <f t="shared" si="59"/>
        <v>4</v>
      </c>
      <c r="CQ37" s="84" t="str">
        <f t="shared" si="60"/>
        <v/>
      </c>
      <c r="CR37" s="85"/>
      <c r="CS37" s="19"/>
      <c r="CT37" s="26" t="str">
        <f t="shared" si="78"/>
        <v/>
      </c>
      <c r="CU37" s="27" t="str">
        <f t="shared" si="62"/>
        <v/>
      </c>
      <c r="CV37" s="27">
        <f t="shared" si="63"/>
        <v>3</v>
      </c>
      <c r="CW37" s="27" t="str">
        <f t="shared" si="64"/>
        <v/>
      </c>
      <c r="CX37" s="27" t="str">
        <f t="shared" si="65"/>
        <v/>
      </c>
      <c r="CY37" s="27">
        <f t="shared" si="66"/>
        <v>1</v>
      </c>
      <c r="CZ37" s="27" t="str">
        <f t="shared" si="67"/>
        <v/>
      </c>
      <c r="DA37" s="27">
        <f t="shared" si="68"/>
        <v>3</v>
      </c>
      <c r="DB37" s="27">
        <f t="shared" si="69"/>
        <v>3</v>
      </c>
      <c r="DC37" s="27">
        <f t="shared" si="70"/>
        <v>0</v>
      </c>
      <c r="DD37" s="27" t="str">
        <f t="shared" si="71"/>
        <v/>
      </c>
      <c r="DE37" s="27">
        <f t="shared" si="72"/>
        <v>4</v>
      </c>
      <c r="DF37" s="27">
        <f t="shared" si="73"/>
        <v>1</v>
      </c>
      <c r="DG37" s="27" t="str">
        <f t="shared" si="74"/>
        <v/>
      </c>
      <c r="DH37" s="27">
        <f t="shared" si="75"/>
        <v>3</v>
      </c>
      <c r="DI37" s="28"/>
    </row>
    <row r="38" spans="1:113" ht="15" customHeight="1" thickBot="1" x14ac:dyDescent="0.35">
      <c r="A38" s="46"/>
      <c r="D38" s="45">
        <f>IF('export html'!A8="","",'export html'!A8)</f>
        <v>42077</v>
      </c>
      <c r="E38" s="74">
        <f>IF('export html'!B8="","",'export html'!B8)</f>
        <v>30</v>
      </c>
      <c r="F38" s="37" t="str">
        <f>IF('export html'!C8="","",'export html'!C8)</f>
        <v>Waasland-Beveren - Lokeren</v>
      </c>
      <c r="G38" s="37"/>
      <c r="H38" s="37"/>
      <c r="I38" s="37"/>
      <c r="J38" s="37"/>
      <c r="N38" s="10" t="str">
        <f>IF('export html'!D8="","",'export html'!D8)</f>
        <v>0-0</v>
      </c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</row>
    <row r="39" spans="1:113" ht="15" customHeight="1" x14ac:dyDescent="0.3">
      <c r="A39" s="46"/>
      <c r="D39" s="45">
        <f>IF('export html'!A9="","",'export html'!A9)</f>
        <v>42077</v>
      </c>
      <c r="E39" s="74">
        <f>IF('export html'!B9="","",'export html'!B9)</f>
        <v>30</v>
      </c>
      <c r="F39" s="37" t="str">
        <f>IF('export html'!C9="","",'export html'!C9)</f>
        <v>Westerlo - Club Brugge</v>
      </c>
      <c r="G39" s="37"/>
      <c r="H39" s="37"/>
      <c r="I39" s="37"/>
      <c r="J39" s="37"/>
      <c r="N39" s="10" t="str">
        <f>IF('export html'!D9="","",'export html'!D9)</f>
        <v>1-3</v>
      </c>
      <c r="CB39" s="13"/>
      <c r="CC39" s="20"/>
      <c r="CD39" s="21" t="str">
        <f t="shared" ref="CD39:CD54" si="79">IF(OR(ISERROR(FIND("-",R5)),AH5&gt;15),"",IF(AND(LEFT(R5)="*",RIGHT(R5)="*"),"ff",IF(CD5&gt;CD22,"t",IF(CD5&lt;CD22,"u","g"))))</f>
        <v>t</v>
      </c>
      <c r="CE39" s="21" t="str">
        <f t="shared" ref="CE39:CE54" si="80">IF(OR(ISERROR(FIND("-",S5)),AI5&gt;15),"",IF(AND(LEFT(S5)="*",RIGHT(S5)="*"),"ff",IF(CE5&gt;CE22,"t",IF(CE5&lt;CE22,"u","g"))))</f>
        <v>t</v>
      </c>
      <c r="CF39" s="21" t="str">
        <f t="shared" ref="CF39:CF54" si="81">IF(OR(ISERROR(FIND("-",T5)),AJ5&gt;15),"",IF(AND(LEFT(T5)="*",RIGHT(T5)="*"),"ff",IF(CF5&gt;CF22,"t",IF(CF5&lt;CF22,"u","g"))))</f>
        <v/>
      </c>
      <c r="CG39" s="21" t="str">
        <f t="shared" ref="CG39:CG54" si="82">IF(OR(ISERROR(FIND("-",U5)),AK5&gt;15),"",IF(AND(LEFT(U5)="*",RIGHT(U5)="*"),"ff",IF(CG5&gt;CG22,"t",IF(CG5&lt;CG22,"u","g"))))</f>
        <v>g</v>
      </c>
      <c r="CH39" s="21" t="str">
        <f t="shared" ref="CH39:CH54" si="83">IF(OR(ISERROR(FIND("-",V5)),AL5&gt;15),"",IF(AND(LEFT(V5)="*",RIGHT(V5)="*"),"ff",IF(CH5&gt;CH22,"t",IF(CH5&lt;CH22,"u","g"))))</f>
        <v/>
      </c>
      <c r="CI39" s="21" t="str">
        <f t="shared" ref="CI39:CI54" si="84">IF(OR(ISERROR(FIND("-",W5)),AM5&gt;15),"",IF(AND(LEFT(W5)="*",RIGHT(W5)="*"),"ff",IF(CI5&gt;CI22,"t",IF(CI5&lt;CI22,"u","g"))))</f>
        <v/>
      </c>
      <c r="CJ39" s="21" t="str">
        <f t="shared" ref="CJ39:CJ54" si="85">IF(OR(ISERROR(FIND("-",X5)),AN5&gt;15),"",IF(AND(LEFT(X5)="*",RIGHT(X5)="*"),"ff",IF(CJ5&gt;CJ22,"t",IF(CJ5&lt;CJ22,"u","g"))))</f>
        <v/>
      </c>
      <c r="CK39" s="21" t="str">
        <f t="shared" ref="CK39:CK54" si="86">IF(OR(ISERROR(FIND("-",Y5)),AO5&gt;15),"",IF(AND(LEFT(Y5)="*",RIGHT(Y5)="*"),"ff",IF(CK5&gt;CK22,"t",IF(CK5&lt;CK22,"u","g"))))</f>
        <v/>
      </c>
      <c r="CL39" s="21" t="str">
        <f t="shared" ref="CL39:CL54" si="87">IF(OR(ISERROR(FIND("-",Z5)),AP5&gt;15),"",IF(AND(LEFT(Z5)="*",RIGHT(Z5)="*"),"ff",IF(CL5&gt;CL22,"t",IF(CL5&lt;CL22,"u","g"))))</f>
        <v>g</v>
      </c>
      <c r="CM39" s="21" t="str">
        <f t="shared" ref="CM39:CM54" si="88">IF(OR(ISERROR(FIND("-",AA5)),AQ5&gt;15),"",IF(AND(LEFT(AA5)="*",RIGHT(AA5)="*"),"ff",IF(CM5&gt;CM22,"t",IF(CM5&lt;CM22,"u","g"))))</f>
        <v>t</v>
      </c>
      <c r="CN39" s="21" t="str">
        <f t="shared" ref="CN39:CN54" si="89">IF(OR(ISERROR(FIND("-",AB5)),AR5&gt;15),"",IF(AND(LEFT(AB5)="*",RIGHT(AB5)="*"),"ff",IF(CN5&gt;CN22,"t",IF(CN5&lt;CN22,"u","g"))))</f>
        <v/>
      </c>
      <c r="CO39" s="21" t="str">
        <f t="shared" ref="CO39:CO54" si="90">IF(OR(ISERROR(FIND("-",AC5)),AS5&gt;15),"",IF(AND(LEFT(AC5)="*",RIGHT(AC5)="*"),"ff",IF(CO5&gt;CO22,"t",IF(CO5&lt;CO22,"u","g"))))</f>
        <v>u</v>
      </c>
      <c r="CP39" s="21" t="str">
        <f t="shared" ref="CP39:CP54" si="91">IF(OR(ISERROR(FIND("-",AD5)),AT5&gt;15),"",IF(AND(LEFT(AD5)="*",RIGHT(AD5)="*"),"ff",IF(CP5&gt;CP22,"t",IF(CP5&lt;CP22,"u","g"))))</f>
        <v>t</v>
      </c>
      <c r="CQ39" s="21" t="str">
        <f t="shared" ref="CQ39:CQ54" si="92">IF(OR(ISERROR(FIND("-",AE5)),AU5&gt;15),"",IF(AND(LEFT(AE5)="*",RIGHT(AE5)="*"),"ff",IF(CQ5&gt;CQ22,"t",IF(CQ5&lt;CQ22,"u","g"))))</f>
        <v/>
      </c>
      <c r="CR39" s="22" t="str">
        <f t="shared" ref="CR39:CR53" si="93">IF(OR(ISERROR(FIND("-",AF5)),AV5&gt;15),"",IF(AND(LEFT(AF5)="*",RIGHT(AF5)="*"),"ff",IF(CR5&gt;CR22,"t",IF(CR5&lt;CR22,"u","g"))))</f>
        <v/>
      </c>
      <c r="CS39" s="19"/>
      <c r="CT39" s="20"/>
      <c r="CU39" s="21" t="str">
        <f t="shared" ref="CU39:CU54" si="94">IF(OR(ISERROR(FIND("-",R5)),AH5&lt;=15),"",IF(AND(LEFT(R5)="*",RIGHT(R5)="*"),"ff",IF(CU5&gt;CU22,"t",IF(CU5&lt;CU22,"u","g"))))</f>
        <v/>
      </c>
      <c r="CV39" s="21" t="str">
        <f t="shared" ref="CV39:CV54" si="95">IF(OR(ISERROR(FIND("-",S5)),AI5&lt;=15),"",IF(AND(LEFT(S5)="*",RIGHT(S5)="*"),"ff",IF(CV5&gt;CV22,"t",IF(CV5&lt;CV22,"u","g"))))</f>
        <v/>
      </c>
      <c r="CW39" s="21" t="str">
        <f t="shared" ref="CW39:CW54" si="96">IF(OR(ISERROR(FIND("-",T5)),AJ5&lt;=15),"",IF(AND(LEFT(T5)="*",RIGHT(T5)="*"),"ff",IF(CW5&gt;CW22,"t",IF(CW5&lt;CW22,"u","g"))))</f>
        <v>g</v>
      </c>
      <c r="CX39" s="21" t="str">
        <f t="shared" ref="CX39:CX54" si="97">IF(OR(ISERROR(FIND("-",U5)),AK5&lt;=15),"",IF(AND(LEFT(U5)="*",RIGHT(U5)="*"),"ff",IF(CX5&gt;CX22,"t",IF(CX5&lt;CX22,"u","g"))))</f>
        <v/>
      </c>
      <c r="CY39" s="21" t="str">
        <f t="shared" ref="CY39:CY54" si="98">IF(OR(ISERROR(FIND("-",V5)),AL5&lt;=15),"",IF(AND(LEFT(V5)="*",RIGHT(V5)="*"),"ff",IF(CY5&gt;CY22,"t",IF(CY5&lt;CY22,"u","g"))))</f>
        <v>u</v>
      </c>
      <c r="CZ39" s="21" t="str">
        <f t="shared" ref="CZ39:CZ54" si="99">IF(OR(ISERROR(FIND("-",W5)),AM5&lt;=15),"",IF(AND(LEFT(W5)="*",RIGHT(W5)="*"),"ff",IF(CZ5&gt;CZ22,"t",IF(CZ5&lt;CZ22,"u","g"))))</f>
        <v>t</v>
      </c>
      <c r="DA39" s="21" t="str">
        <f t="shared" ref="DA39:DA54" si="100">IF(OR(ISERROR(FIND("-",X5)),AN5&lt;=15),"",IF(AND(LEFT(X5)="*",RIGHT(X5)="*"),"ff",IF(DA5&gt;DA22,"t",IF(DA5&lt;DA22,"u","g"))))</f>
        <v>g</v>
      </c>
      <c r="DB39" s="21" t="str">
        <f t="shared" ref="DB39:DB54" si="101">IF(OR(ISERROR(FIND("-",Y5)),AO5&lt;=15),"",IF(AND(LEFT(Y5)="*",RIGHT(Y5)="*"),"ff",IF(DB5&gt;DB22,"t",IF(DB5&lt;DB22,"u","g"))))</f>
        <v>t</v>
      </c>
      <c r="DC39" s="21" t="str">
        <f t="shared" ref="DC39:DC54" si="102">IF(OR(ISERROR(FIND("-",Z5)),AP5&lt;=15),"",IF(AND(LEFT(Z5)="*",RIGHT(Z5)="*"),"ff",IF(DC5&gt;DC22,"t",IF(DC5&lt;DC22,"u","g"))))</f>
        <v/>
      </c>
      <c r="DD39" s="21" t="str">
        <f t="shared" ref="DD39:DD54" si="103">IF(OR(ISERROR(FIND("-",AA5)),AQ5&lt;=15),"",IF(AND(LEFT(AA5)="*",RIGHT(AA5)="*"),"ff",IF(DD5&gt;DD22,"t",IF(DD5&lt;DD22,"u","g"))))</f>
        <v/>
      </c>
      <c r="DE39" s="21" t="str">
        <f t="shared" ref="DE39:DE54" si="104">IF(OR(ISERROR(FIND("-",AB5)),AR5&lt;=15),"",IF(AND(LEFT(AB5)="*",RIGHT(AB5)="*"),"ff",IF(DE5&gt;DE22,"t",IF(DE5&lt;DE22,"u","g"))))</f>
        <v>t</v>
      </c>
      <c r="DF39" s="21" t="str">
        <f t="shared" ref="DF39:DF54" si="105">IF(OR(ISERROR(FIND("-",AC5)),AS5&lt;=15),"",IF(AND(LEFT(AC5)="*",RIGHT(AC5)="*"),"ff",IF(DF5&gt;DF22,"t",IF(DF5&lt;DF22,"u","g"))))</f>
        <v/>
      </c>
      <c r="DG39" s="21" t="str">
        <f t="shared" ref="DG39:DG54" si="106">IF(OR(ISERROR(FIND("-",AD5)),AT5&lt;=15),"",IF(AND(LEFT(AD5)="*",RIGHT(AD5)="*"),"ff",IF(DG5&gt;DG22,"t",IF(DG5&lt;DG22,"u","g"))))</f>
        <v/>
      </c>
      <c r="DH39" s="21" t="str">
        <f t="shared" ref="DH39:DH54" si="107">IF(OR(ISERROR(FIND("-",AE5)),AU5&lt;=15),"",IF(AND(LEFT(AE5)="*",RIGHT(AE5)="*"),"ff",IF(DH5&gt;DH22,"t",IF(DH5&lt;DH22,"u","g"))))</f>
        <v>t</v>
      </c>
      <c r="DI39" s="22" t="str">
        <f t="shared" ref="DI39:DI53" si="108">IF(OR(ISERROR(FIND("-",AF5)),AV5&lt;=15),"",IF(AND(LEFT(AF5)="*",RIGHT(AF5)="*"),"ff",IF(DI5&gt;DI22,"t",IF(DI5&lt;DI22,"u","g"))))</f>
        <v>g</v>
      </c>
    </row>
    <row r="40" spans="1:113" ht="15" customHeight="1" x14ac:dyDescent="0.3">
      <c r="A40" s="46"/>
      <c r="D40" s="45">
        <f>IF('export html'!A10="","",'export html'!A10)</f>
        <v>42077</v>
      </c>
      <c r="E40" s="74">
        <f>IF('export html'!B10="","",'export html'!B10)</f>
        <v>30</v>
      </c>
      <c r="F40" s="37" t="str">
        <f>IF('export html'!C10="","",'export html'!C10)</f>
        <v>Zulte-Waregem - Oostende</v>
      </c>
      <c r="G40" s="37"/>
      <c r="H40" s="37"/>
      <c r="I40" s="37"/>
      <c r="J40" s="37"/>
      <c r="N40" s="10" t="str">
        <f>IF('export html'!D10="","",'export html'!D10)</f>
        <v>1-4</v>
      </c>
      <c r="CB40" s="13"/>
      <c r="CC40" s="23" t="str">
        <f t="shared" ref="CC40:CC54" si="109">IF(OR(ISERROR(FIND("-",Q6)),AG6&gt;15),"",IF(AND(LEFT(Q6)="*",RIGHT(Q6)="*"),"ff",IF(CC6&gt;CC23,"t",IF(CC6&lt;CC23,"u","g"))))</f>
        <v/>
      </c>
      <c r="CD40" s="24"/>
      <c r="CE40" s="24" t="str">
        <f t="shared" si="80"/>
        <v>t</v>
      </c>
      <c r="CF40" s="24" t="str">
        <f t="shared" si="81"/>
        <v/>
      </c>
      <c r="CG40" s="24" t="str">
        <f t="shared" si="82"/>
        <v/>
      </c>
      <c r="CH40" s="24" t="str">
        <f t="shared" si="83"/>
        <v>g</v>
      </c>
      <c r="CI40" s="24" t="str">
        <f t="shared" si="84"/>
        <v>u</v>
      </c>
      <c r="CJ40" s="24" t="str">
        <f t="shared" si="85"/>
        <v/>
      </c>
      <c r="CK40" s="24" t="str">
        <f t="shared" si="86"/>
        <v>u</v>
      </c>
      <c r="CL40" s="24" t="str">
        <f t="shared" si="87"/>
        <v>t</v>
      </c>
      <c r="CM40" s="24" t="str">
        <f t="shared" si="88"/>
        <v/>
      </c>
      <c r="CN40" s="24" t="str">
        <f t="shared" si="89"/>
        <v>u</v>
      </c>
      <c r="CO40" s="24" t="str">
        <f t="shared" si="90"/>
        <v>u</v>
      </c>
      <c r="CP40" s="24" t="str">
        <f t="shared" si="91"/>
        <v/>
      </c>
      <c r="CQ40" s="24" t="str">
        <f t="shared" si="92"/>
        <v>u</v>
      </c>
      <c r="CR40" s="25" t="str">
        <f t="shared" si="93"/>
        <v/>
      </c>
      <c r="CS40" s="19"/>
      <c r="CT40" s="23" t="str">
        <f t="shared" ref="CT40:CT54" si="110">IF(OR(ISERROR(FIND("-",Q6)),AG6&lt;=15),"",IF(AND(LEFT(Q6)="*",RIGHT(Q6)="*"),"ff",IF(CT6&gt;CT23,"t",IF(CT6&lt;CT23,"u","g"))))</f>
        <v>u</v>
      </c>
      <c r="CU40" s="24"/>
      <c r="CV40" s="24" t="str">
        <f t="shared" si="95"/>
        <v/>
      </c>
      <c r="CW40" s="24" t="str">
        <f t="shared" si="96"/>
        <v>u</v>
      </c>
      <c r="CX40" s="24" t="str">
        <f t="shared" si="97"/>
        <v>u</v>
      </c>
      <c r="CY40" s="24" t="str">
        <f t="shared" si="98"/>
        <v/>
      </c>
      <c r="CZ40" s="24" t="str">
        <f t="shared" si="99"/>
        <v/>
      </c>
      <c r="DA40" s="24" t="str">
        <f t="shared" si="100"/>
        <v>u</v>
      </c>
      <c r="DB40" s="24" t="str">
        <f t="shared" si="101"/>
        <v/>
      </c>
      <c r="DC40" s="24" t="str">
        <f t="shared" si="102"/>
        <v/>
      </c>
      <c r="DD40" s="24" t="str">
        <f t="shared" si="103"/>
        <v>t</v>
      </c>
      <c r="DE40" s="24" t="str">
        <f t="shared" si="104"/>
        <v/>
      </c>
      <c r="DF40" s="24" t="str">
        <f t="shared" si="105"/>
        <v/>
      </c>
      <c r="DG40" s="24" t="str">
        <f t="shared" si="106"/>
        <v>t</v>
      </c>
      <c r="DH40" s="24" t="str">
        <f t="shared" si="107"/>
        <v/>
      </c>
      <c r="DI40" s="25" t="str">
        <f t="shared" si="108"/>
        <v>g</v>
      </c>
    </row>
    <row r="41" spans="1:113" x14ac:dyDescent="0.3">
      <c r="A41" s="46"/>
      <c r="D41" s="45" t="str">
        <f>IF('export html'!A11="","",'export html'!A11)</f>
        <v/>
      </c>
      <c r="E41" s="74" t="str">
        <f>IF('export html'!B11="","",'export html'!B11)</f>
        <v/>
      </c>
      <c r="F41" s="37" t="str">
        <f>IF('export html'!C11="","",'export html'!C11)</f>
        <v/>
      </c>
      <c r="G41" s="37"/>
      <c r="H41" s="37"/>
      <c r="I41" s="37"/>
      <c r="J41" s="37"/>
      <c r="N41" s="10" t="str">
        <f>IF('export html'!D11="","",'export html'!D11)</f>
        <v/>
      </c>
      <c r="CB41" s="13"/>
      <c r="CC41" s="23" t="str">
        <f t="shared" si="109"/>
        <v/>
      </c>
      <c r="CD41" s="24" t="str">
        <f t="shared" si="79"/>
        <v/>
      </c>
      <c r="CE41" s="24"/>
      <c r="CF41" s="24" t="str">
        <f t="shared" si="81"/>
        <v>g</v>
      </c>
      <c r="CG41" s="24" t="str">
        <f t="shared" si="82"/>
        <v/>
      </c>
      <c r="CH41" s="24" t="str">
        <f t="shared" si="83"/>
        <v/>
      </c>
      <c r="CI41" s="24" t="str">
        <f t="shared" si="84"/>
        <v>u</v>
      </c>
      <c r="CJ41" s="24" t="str">
        <f t="shared" si="85"/>
        <v>t</v>
      </c>
      <c r="CK41" s="24" t="str">
        <f t="shared" si="86"/>
        <v/>
      </c>
      <c r="CL41" s="24" t="str">
        <f t="shared" si="87"/>
        <v/>
      </c>
      <c r="CM41" s="24" t="str">
        <f t="shared" si="88"/>
        <v/>
      </c>
      <c r="CN41" s="24" t="str">
        <f t="shared" si="89"/>
        <v>t</v>
      </c>
      <c r="CO41" s="24" t="str">
        <f t="shared" si="90"/>
        <v/>
      </c>
      <c r="CP41" s="24" t="str">
        <f t="shared" si="91"/>
        <v>g</v>
      </c>
      <c r="CQ41" s="24" t="str">
        <f t="shared" si="92"/>
        <v>u</v>
      </c>
      <c r="CR41" s="25" t="str">
        <f t="shared" si="93"/>
        <v>t</v>
      </c>
      <c r="CS41" s="19"/>
      <c r="CT41" s="23" t="str">
        <f t="shared" si="110"/>
        <v>t</v>
      </c>
      <c r="CU41" s="24" t="str">
        <f t="shared" si="94"/>
        <v>u</v>
      </c>
      <c r="CV41" s="24"/>
      <c r="CW41" s="24" t="str">
        <f t="shared" si="96"/>
        <v/>
      </c>
      <c r="CX41" s="24" t="str">
        <f t="shared" si="97"/>
        <v>t</v>
      </c>
      <c r="CY41" s="24" t="str">
        <f t="shared" si="98"/>
        <v>g</v>
      </c>
      <c r="CZ41" s="24" t="str">
        <f t="shared" si="99"/>
        <v/>
      </c>
      <c r="DA41" s="24" t="str">
        <f t="shared" si="100"/>
        <v/>
      </c>
      <c r="DB41" s="24" t="str">
        <f t="shared" si="101"/>
        <v>t</v>
      </c>
      <c r="DC41" s="24" t="str">
        <f t="shared" si="102"/>
        <v>t</v>
      </c>
      <c r="DD41" s="24" t="str">
        <f t="shared" si="103"/>
        <v>t</v>
      </c>
      <c r="DE41" s="24" t="str">
        <f t="shared" si="104"/>
        <v/>
      </c>
      <c r="DF41" s="24" t="str">
        <f t="shared" si="105"/>
        <v>u</v>
      </c>
      <c r="DG41" s="24" t="str">
        <f t="shared" si="106"/>
        <v/>
      </c>
      <c r="DH41" s="24" t="str">
        <f t="shared" si="107"/>
        <v/>
      </c>
      <c r="DI41" s="25" t="str">
        <f t="shared" si="108"/>
        <v/>
      </c>
    </row>
    <row r="42" spans="1:113" x14ac:dyDescent="0.3">
      <c r="A42" s="46"/>
      <c r="CB42" s="13"/>
      <c r="CC42" s="23" t="str">
        <f t="shared" si="109"/>
        <v>g</v>
      </c>
      <c r="CD42" s="24" t="str">
        <f t="shared" si="79"/>
        <v>g</v>
      </c>
      <c r="CE42" s="24" t="str">
        <f t="shared" si="80"/>
        <v/>
      </c>
      <c r="CF42" s="24"/>
      <c r="CG42" s="24" t="str">
        <f t="shared" si="82"/>
        <v/>
      </c>
      <c r="CH42" s="24" t="str">
        <f t="shared" si="83"/>
        <v>g</v>
      </c>
      <c r="CI42" s="24" t="str">
        <f t="shared" si="84"/>
        <v>t</v>
      </c>
      <c r="CJ42" s="24" t="str">
        <f t="shared" si="85"/>
        <v/>
      </c>
      <c r="CK42" s="24" t="str">
        <f t="shared" si="86"/>
        <v>t</v>
      </c>
      <c r="CL42" s="24" t="str">
        <f t="shared" si="87"/>
        <v/>
      </c>
      <c r="CM42" s="24" t="str">
        <f t="shared" si="88"/>
        <v/>
      </c>
      <c r="CN42" s="24" t="str">
        <f t="shared" si="89"/>
        <v/>
      </c>
      <c r="CO42" s="24" t="str">
        <f t="shared" si="90"/>
        <v>t</v>
      </c>
      <c r="CP42" s="24" t="str">
        <f t="shared" si="91"/>
        <v/>
      </c>
      <c r="CQ42" s="24" t="str">
        <f t="shared" si="92"/>
        <v>t</v>
      </c>
      <c r="CR42" s="25" t="str">
        <f t="shared" si="93"/>
        <v/>
      </c>
      <c r="CS42" s="19"/>
      <c r="CT42" s="23" t="str">
        <f t="shared" si="110"/>
        <v/>
      </c>
      <c r="CU42" s="24" t="str">
        <f t="shared" si="94"/>
        <v/>
      </c>
      <c r="CV42" s="24" t="str">
        <f t="shared" si="95"/>
        <v>t</v>
      </c>
      <c r="CW42" s="24"/>
      <c r="CX42" s="24" t="str">
        <f t="shared" si="97"/>
        <v>t</v>
      </c>
      <c r="CY42" s="24" t="str">
        <f t="shared" si="98"/>
        <v/>
      </c>
      <c r="CZ42" s="24" t="str">
        <f t="shared" si="99"/>
        <v/>
      </c>
      <c r="DA42" s="24" t="str">
        <f t="shared" si="100"/>
        <v>g</v>
      </c>
      <c r="DB42" s="24" t="str">
        <f t="shared" si="101"/>
        <v/>
      </c>
      <c r="DC42" s="24" t="str">
        <f t="shared" si="102"/>
        <v>g</v>
      </c>
      <c r="DD42" s="24" t="str">
        <f t="shared" si="103"/>
        <v>t</v>
      </c>
      <c r="DE42" s="24" t="str">
        <f t="shared" si="104"/>
        <v>t</v>
      </c>
      <c r="DF42" s="24" t="str">
        <f t="shared" si="105"/>
        <v/>
      </c>
      <c r="DG42" s="24" t="str">
        <f t="shared" si="106"/>
        <v>t</v>
      </c>
      <c r="DH42" s="24" t="str">
        <f t="shared" si="107"/>
        <v/>
      </c>
      <c r="DI42" s="25" t="str">
        <f t="shared" si="108"/>
        <v>t</v>
      </c>
    </row>
    <row r="43" spans="1:113" x14ac:dyDescent="0.3">
      <c r="A43" s="46"/>
      <c r="CB43" s="13"/>
      <c r="CC43" s="23" t="str">
        <f t="shared" si="109"/>
        <v/>
      </c>
      <c r="CD43" s="24" t="str">
        <f t="shared" si="79"/>
        <v>g</v>
      </c>
      <c r="CE43" s="24" t="str">
        <f t="shared" si="80"/>
        <v>g</v>
      </c>
      <c r="CF43" s="24" t="str">
        <f t="shared" si="81"/>
        <v>g</v>
      </c>
      <c r="CG43" s="24"/>
      <c r="CH43" s="24" t="str">
        <f t="shared" si="83"/>
        <v>t</v>
      </c>
      <c r="CI43" s="24" t="str">
        <f t="shared" si="84"/>
        <v/>
      </c>
      <c r="CJ43" s="24" t="str">
        <f t="shared" si="85"/>
        <v/>
      </c>
      <c r="CK43" s="24" t="str">
        <f t="shared" si="86"/>
        <v>t</v>
      </c>
      <c r="CL43" s="24" t="str">
        <f t="shared" si="87"/>
        <v>g</v>
      </c>
      <c r="CM43" s="24" t="str">
        <f t="shared" si="88"/>
        <v/>
      </c>
      <c r="CN43" s="24" t="str">
        <f t="shared" si="89"/>
        <v/>
      </c>
      <c r="CO43" s="24" t="str">
        <f t="shared" si="90"/>
        <v>u</v>
      </c>
      <c r="CP43" s="24" t="str">
        <f t="shared" si="91"/>
        <v/>
      </c>
      <c r="CQ43" s="24" t="str">
        <f t="shared" si="92"/>
        <v>t</v>
      </c>
      <c r="CR43" s="25" t="str">
        <f t="shared" si="93"/>
        <v/>
      </c>
      <c r="CS43" s="19"/>
      <c r="CT43" s="23" t="str">
        <f t="shared" si="110"/>
        <v>u</v>
      </c>
      <c r="CU43" s="24" t="str">
        <f t="shared" si="94"/>
        <v/>
      </c>
      <c r="CV43" s="24" t="str">
        <f t="shared" si="95"/>
        <v/>
      </c>
      <c r="CW43" s="24" t="str">
        <f t="shared" si="96"/>
        <v/>
      </c>
      <c r="CX43" s="24"/>
      <c r="CY43" s="24" t="str">
        <f t="shared" si="98"/>
        <v/>
      </c>
      <c r="CZ43" s="24" t="str">
        <f t="shared" si="99"/>
        <v>t</v>
      </c>
      <c r="DA43" s="24" t="str">
        <f t="shared" si="100"/>
        <v>t</v>
      </c>
      <c r="DB43" s="24" t="str">
        <f t="shared" si="101"/>
        <v/>
      </c>
      <c r="DC43" s="24" t="str">
        <f t="shared" si="102"/>
        <v/>
      </c>
      <c r="DD43" s="24" t="str">
        <f t="shared" si="103"/>
        <v>t</v>
      </c>
      <c r="DE43" s="24" t="str">
        <f t="shared" si="104"/>
        <v>g</v>
      </c>
      <c r="DF43" s="24" t="str">
        <f t="shared" si="105"/>
        <v/>
      </c>
      <c r="DG43" s="24" t="str">
        <f t="shared" si="106"/>
        <v>t</v>
      </c>
      <c r="DH43" s="24" t="str">
        <f t="shared" si="107"/>
        <v/>
      </c>
      <c r="DI43" s="25" t="str">
        <f t="shared" si="108"/>
        <v>t</v>
      </c>
    </row>
    <row r="44" spans="1:113" x14ac:dyDescent="0.3">
      <c r="A44" s="46"/>
      <c r="F44" s="37"/>
      <c r="J44" s="37"/>
      <c r="CB44" s="13"/>
      <c r="CC44" s="23" t="str">
        <f t="shared" si="109"/>
        <v>u</v>
      </c>
      <c r="CD44" s="24" t="str">
        <f t="shared" si="79"/>
        <v/>
      </c>
      <c r="CE44" s="24" t="str">
        <f t="shared" si="80"/>
        <v>g</v>
      </c>
      <c r="CF44" s="24" t="str">
        <f t="shared" si="81"/>
        <v/>
      </c>
      <c r="CG44" s="24" t="str">
        <f t="shared" si="82"/>
        <v/>
      </c>
      <c r="CH44" s="24"/>
      <c r="CI44" s="24" t="str">
        <f t="shared" si="84"/>
        <v>u</v>
      </c>
      <c r="CJ44" s="24" t="str">
        <f t="shared" si="85"/>
        <v>t</v>
      </c>
      <c r="CK44" s="24" t="str">
        <f t="shared" si="86"/>
        <v/>
      </c>
      <c r="CL44" s="24" t="str">
        <f t="shared" si="87"/>
        <v>g</v>
      </c>
      <c r="CM44" s="24" t="str">
        <f t="shared" si="88"/>
        <v>t</v>
      </c>
      <c r="CN44" s="24" t="str">
        <f t="shared" si="89"/>
        <v/>
      </c>
      <c r="CO44" s="24" t="str">
        <f t="shared" si="90"/>
        <v/>
      </c>
      <c r="CP44" s="24" t="str">
        <f t="shared" si="91"/>
        <v>t</v>
      </c>
      <c r="CQ44" s="24" t="str">
        <f t="shared" si="92"/>
        <v/>
      </c>
      <c r="CR44" s="25" t="str">
        <f t="shared" si="93"/>
        <v>t</v>
      </c>
      <c r="CS44" s="19"/>
      <c r="CT44" s="23" t="str">
        <f t="shared" si="110"/>
        <v/>
      </c>
      <c r="CU44" s="24" t="str">
        <f t="shared" si="94"/>
        <v>t</v>
      </c>
      <c r="CV44" s="24" t="str">
        <f t="shared" si="95"/>
        <v/>
      </c>
      <c r="CW44" s="24" t="str">
        <f t="shared" si="96"/>
        <v>t</v>
      </c>
      <c r="CX44" s="24" t="str">
        <f t="shared" si="97"/>
        <v>g</v>
      </c>
      <c r="CY44" s="24"/>
      <c r="CZ44" s="24" t="str">
        <f t="shared" si="99"/>
        <v/>
      </c>
      <c r="DA44" s="24" t="str">
        <f t="shared" si="100"/>
        <v/>
      </c>
      <c r="DB44" s="24" t="str">
        <f t="shared" si="101"/>
        <v>t</v>
      </c>
      <c r="DC44" s="24" t="str">
        <f t="shared" si="102"/>
        <v/>
      </c>
      <c r="DD44" s="24" t="str">
        <f t="shared" si="103"/>
        <v/>
      </c>
      <c r="DE44" s="24" t="str">
        <f t="shared" si="104"/>
        <v>t</v>
      </c>
      <c r="DF44" s="24" t="str">
        <f t="shared" si="105"/>
        <v>u</v>
      </c>
      <c r="DG44" s="24" t="str">
        <f t="shared" si="106"/>
        <v/>
      </c>
      <c r="DH44" s="24" t="str">
        <f t="shared" si="107"/>
        <v>t</v>
      </c>
      <c r="DI44" s="25" t="str">
        <f t="shared" si="108"/>
        <v/>
      </c>
    </row>
    <row r="45" spans="1:113" x14ac:dyDescent="0.3">
      <c r="A45" s="46"/>
      <c r="F45" s="37"/>
      <c r="J45" s="37"/>
      <c r="CB45" s="13"/>
      <c r="CC45" s="23" t="str">
        <f t="shared" si="109"/>
        <v>u</v>
      </c>
      <c r="CD45" s="24" t="str">
        <f t="shared" si="79"/>
        <v/>
      </c>
      <c r="CE45" s="24" t="str">
        <f t="shared" si="80"/>
        <v/>
      </c>
      <c r="CF45" s="24" t="str">
        <f t="shared" si="81"/>
        <v/>
      </c>
      <c r="CG45" s="24" t="str">
        <f t="shared" si="82"/>
        <v>g</v>
      </c>
      <c r="CH45" s="24" t="str">
        <f t="shared" si="83"/>
        <v/>
      </c>
      <c r="CI45" s="24"/>
      <c r="CJ45" s="24" t="str">
        <f t="shared" si="85"/>
        <v/>
      </c>
      <c r="CK45" s="24" t="str">
        <f t="shared" si="86"/>
        <v>t</v>
      </c>
      <c r="CL45" s="24" t="str">
        <f t="shared" si="87"/>
        <v>u</v>
      </c>
      <c r="CM45" s="24" t="str">
        <f t="shared" si="88"/>
        <v>t</v>
      </c>
      <c r="CN45" s="24" t="str">
        <f t="shared" si="89"/>
        <v>u</v>
      </c>
      <c r="CO45" s="24" t="str">
        <f t="shared" si="90"/>
        <v>u</v>
      </c>
      <c r="CP45" s="24" t="str">
        <f t="shared" si="91"/>
        <v>t</v>
      </c>
      <c r="CQ45" s="24" t="str">
        <f t="shared" si="92"/>
        <v/>
      </c>
      <c r="CR45" s="25" t="str">
        <f t="shared" si="93"/>
        <v/>
      </c>
      <c r="CS45" s="19"/>
      <c r="CT45" s="23" t="str">
        <f t="shared" si="110"/>
        <v/>
      </c>
      <c r="CU45" s="24" t="str">
        <f t="shared" si="94"/>
        <v>t</v>
      </c>
      <c r="CV45" s="24" t="str">
        <f t="shared" si="95"/>
        <v>g</v>
      </c>
      <c r="CW45" s="24" t="str">
        <f t="shared" si="96"/>
        <v>t</v>
      </c>
      <c r="CX45" s="24" t="str">
        <f t="shared" si="97"/>
        <v/>
      </c>
      <c r="CY45" s="24" t="str">
        <f t="shared" si="98"/>
        <v>u</v>
      </c>
      <c r="CZ45" s="24"/>
      <c r="DA45" s="24" t="str">
        <f t="shared" si="100"/>
        <v>t</v>
      </c>
      <c r="DB45" s="24" t="str">
        <f t="shared" si="101"/>
        <v/>
      </c>
      <c r="DC45" s="24" t="str">
        <f t="shared" si="102"/>
        <v/>
      </c>
      <c r="DD45" s="24" t="str">
        <f t="shared" si="103"/>
        <v/>
      </c>
      <c r="DE45" s="24" t="str">
        <f t="shared" si="104"/>
        <v/>
      </c>
      <c r="DF45" s="24" t="str">
        <f t="shared" si="105"/>
        <v/>
      </c>
      <c r="DG45" s="24" t="str">
        <f t="shared" si="106"/>
        <v/>
      </c>
      <c r="DH45" s="24" t="str">
        <f t="shared" si="107"/>
        <v>t</v>
      </c>
      <c r="DI45" s="25" t="str">
        <f t="shared" si="108"/>
        <v>t</v>
      </c>
    </row>
    <row r="46" spans="1:113" x14ac:dyDescent="0.3">
      <c r="A46" s="46"/>
      <c r="F46" s="37"/>
      <c r="J46" s="37"/>
      <c r="CB46" s="13"/>
      <c r="CC46" s="23" t="str">
        <f t="shared" si="109"/>
        <v>g</v>
      </c>
      <c r="CD46" s="24" t="str">
        <f t="shared" si="79"/>
        <v>g</v>
      </c>
      <c r="CE46" s="24" t="str">
        <f t="shared" si="80"/>
        <v/>
      </c>
      <c r="CF46" s="24" t="str">
        <f t="shared" si="81"/>
        <v>t</v>
      </c>
      <c r="CG46" s="24" t="str">
        <f t="shared" si="82"/>
        <v>t</v>
      </c>
      <c r="CH46" s="24" t="str">
        <f t="shared" si="83"/>
        <v/>
      </c>
      <c r="CI46" s="24" t="str">
        <f t="shared" si="84"/>
        <v>u</v>
      </c>
      <c r="CJ46" s="24"/>
      <c r="CK46" s="24" t="str">
        <f t="shared" si="86"/>
        <v/>
      </c>
      <c r="CL46" s="24" t="str">
        <f t="shared" si="87"/>
        <v/>
      </c>
      <c r="CM46" s="24" t="str">
        <f t="shared" si="88"/>
        <v/>
      </c>
      <c r="CN46" s="24" t="str">
        <f t="shared" si="89"/>
        <v/>
      </c>
      <c r="CO46" s="24" t="str">
        <f t="shared" si="90"/>
        <v/>
      </c>
      <c r="CP46" s="24" t="str">
        <f t="shared" si="91"/>
        <v>t</v>
      </c>
      <c r="CQ46" s="24" t="str">
        <f t="shared" si="92"/>
        <v>t</v>
      </c>
      <c r="CR46" s="25" t="str">
        <f t="shared" si="93"/>
        <v>g</v>
      </c>
      <c r="CS46" s="19"/>
      <c r="CT46" s="23" t="str">
        <f t="shared" si="110"/>
        <v/>
      </c>
      <c r="CU46" s="24" t="str">
        <f t="shared" si="94"/>
        <v/>
      </c>
      <c r="CV46" s="24" t="str">
        <f t="shared" si="95"/>
        <v>g</v>
      </c>
      <c r="CW46" s="24" t="str">
        <f t="shared" si="96"/>
        <v/>
      </c>
      <c r="CX46" s="24" t="str">
        <f t="shared" si="97"/>
        <v/>
      </c>
      <c r="CY46" s="24" t="str">
        <f t="shared" si="98"/>
        <v>g</v>
      </c>
      <c r="CZ46" s="24" t="str">
        <f t="shared" si="99"/>
        <v/>
      </c>
      <c r="DA46" s="24"/>
      <c r="DB46" s="24" t="str">
        <f t="shared" si="101"/>
        <v>t</v>
      </c>
      <c r="DC46" s="24" t="str">
        <f t="shared" si="102"/>
        <v>u</v>
      </c>
      <c r="DD46" s="24" t="str">
        <f t="shared" si="103"/>
        <v>t</v>
      </c>
      <c r="DE46" s="24" t="str">
        <f t="shared" si="104"/>
        <v>g</v>
      </c>
      <c r="DF46" s="24" t="str">
        <f t="shared" si="105"/>
        <v>t</v>
      </c>
      <c r="DG46" s="24" t="str">
        <f t="shared" si="106"/>
        <v/>
      </c>
      <c r="DH46" s="24" t="str">
        <f t="shared" si="107"/>
        <v/>
      </c>
      <c r="DI46" s="25" t="str">
        <f t="shared" si="108"/>
        <v/>
      </c>
    </row>
    <row r="47" spans="1:113" x14ac:dyDescent="0.3">
      <c r="A47" s="46"/>
      <c r="F47" s="37"/>
      <c r="J47" s="37"/>
      <c r="CB47" s="13"/>
      <c r="CC47" s="23" t="str">
        <f t="shared" si="109"/>
        <v>g</v>
      </c>
      <c r="CD47" s="24" t="str">
        <f t="shared" si="79"/>
        <v/>
      </c>
      <c r="CE47" s="24" t="str">
        <f t="shared" si="80"/>
        <v>u</v>
      </c>
      <c r="CF47" s="24" t="str">
        <f t="shared" si="81"/>
        <v/>
      </c>
      <c r="CG47" s="24" t="str">
        <f t="shared" si="82"/>
        <v/>
      </c>
      <c r="CH47" s="24" t="str">
        <f t="shared" si="83"/>
        <v>u</v>
      </c>
      <c r="CI47" s="24" t="str">
        <f t="shared" si="84"/>
        <v/>
      </c>
      <c r="CJ47" s="24" t="str">
        <f t="shared" si="85"/>
        <v>u</v>
      </c>
      <c r="CK47" s="24"/>
      <c r="CL47" s="24" t="str">
        <f t="shared" si="87"/>
        <v/>
      </c>
      <c r="CM47" s="24" t="str">
        <f t="shared" si="88"/>
        <v>g</v>
      </c>
      <c r="CN47" s="24" t="str">
        <f t="shared" si="89"/>
        <v>t</v>
      </c>
      <c r="CO47" s="24" t="str">
        <f t="shared" si="90"/>
        <v/>
      </c>
      <c r="CP47" s="24" t="str">
        <f t="shared" si="91"/>
        <v/>
      </c>
      <c r="CQ47" s="24" t="str">
        <f t="shared" si="92"/>
        <v/>
      </c>
      <c r="CR47" s="25" t="str">
        <f t="shared" si="93"/>
        <v>t</v>
      </c>
      <c r="CS47" s="19"/>
      <c r="CT47" s="23" t="str">
        <f t="shared" si="110"/>
        <v/>
      </c>
      <c r="CU47" s="24" t="str">
        <f t="shared" si="94"/>
        <v>t</v>
      </c>
      <c r="CV47" s="24" t="str">
        <f t="shared" si="95"/>
        <v/>
      </c>
      <c r="CW47" s="24" t="str">
        <f t="shared" si="96"/>
        <v>u</v>
      </c>
      <c r="CX47" s="24" t="str">
        <f t="shared" si="97"/>
        <v>u</v>
      </c>
      <c r="CY47" s="24" t="str">
        <f t="shared" si="98"/>
        <v/>
      </c>
      <c r="CZ47" s="24" t="str">
        <f t="shared" si="99"/>
        <v>g</v>
      </c>
      <c r="DA47" s="24" t="str">
        <f t="shared" si="100"/>
        <v/>
      </c>
      <c r="DB47" s="24"/>
      <c r="DC47" s="24" t="str">
        <f t="shared" si="102"/>
        <v>g</v>
      </c>
      <c r="DD47" s="24" t="str">
        <f t="shared" si="103"/>
        <v/>
      </c>
      <c r="DE47" s="24" t="str">
        <f t="shared" si="104"/>
        <v/>
      </c>
      <c r="DF47" s="24" t="str">
        <f t="shared" si="105"/>
        <v>u</v>
      </c>
      <c r="DG47" s="24" t="str">
        <f t="shared" si="106"/>
        <v>g</v>
      </c>
      <c r="DH47" s="24" t="str">
        <f t="shared" si="107"/>
        <v>g</v>
      </c>
      <c r="DI47" s="25" t="str">
        <f t="shared" si="108"/>
        <v/>
      </c>
    </row>
    <row r="48" spans="1:113" x14ac:dyDescent="0.3">
      <c r="A48" s="46"/>
      <c r="CB48" s="13"/>
      <c r="CC48" s="23" t="str">
        <f t="shared" si="109"/>
        <v/>
      </c>
      <c r="CD48" s="24" t="str">
        <f t="shared" si="79"/>
        <v/>
      </c>
      <c r="CE48" s="24" t="str">
        <f t="shared" si="80"/>
        <v>t</v>
      </c>
      <c r="CF48" s="24" t="str">
        <f t="shared" si="81"/>
        <v>u</v>
      </c>
      <c r="CG48" s="24" t="str">
        <f t="shared" si="82"/>
        <v/>
      </c>
      <c r="CH48" s="24" t="str">
        <f t="shared" si="83"/>
        <v/>
      </c>
      <c r="CI48" s="24" t="str">
        <f t="shared" si="84"/>
        <v/>
      </c>
      <c r="CJ48" s="24" t="str">
        <f t="shared" si="85"/>
        <v>t</v>
      </c>
      <c r="CK48" s="24" t="str">
        <f t="shared" si="86"/>
        <v>t</v>
      </c>
      <c r="CL48" s="24"/>
      <c r="CM48" s="24" t="str">
        <f t="shared" si="88"/>
        <v/>
      </c>
      <c r="CN48" s="24" t="str">
        <f t="shared" si="89"/>
        <v>t</v>
      </c>
      <c r="CO48" s="24" t="str">
        <f t="shared" si="90"/>
        <v>g</v>
      </c>
      <c r="CP48" s="24" t="str">
        <f t="shared" si="91"/>
        <v>t</v>
      </c>
      <c r="CQ48" s="24" t="str">
        <f t="shared" si="92"/>
        <v/>
      </c>
      <c r="CR48" s="25" t="str">
        <f t="shared" si="93"/>
        <v>t</v>
      </c>
      <c r="CS48" s="19"/>
      <c r="CT48" s="23" t="str">
        <f t="shared" si="110"/>
        <v>u</v>
      </c>
      <c r="CU48" s="24" t="str">
        <f t="shared" si="94"/>
        <v>g</v>
      </c>
      <c r="CV48" s="24" t="str">
        <f t="shared" si="95"/>
        <v/>
      </c>
      <c r="CW48" s="24" t="str">
        <f t="shared" si="96"/>
        <v/>
      </c>
      <c r="CX48" s="24" t="str">
        <f t="shared" si="97"/>
        <v>g</v>
      </c>
      <c r="CY48" s="24" t="str">
        <f t="shared" si="98"/>
        <v>g</v>
      </c>
      <c r="CZ48" s="24" t="str">
        <f t="shared" si="99"/>
        <v>u</v>
      </c>
      <c r="DA48" s="24" t="str">
        <f t="shared" si="100"/>
        <v/>
      </c>
      <c r="DB48" s="24" t="str">
        <f t="shared" si="101"/>
        <v/>
      </c>
      <c r="DC48" s="24"/>
      <c r="DD48" s="24" t="str">
        <f t="shared" si="103"/>
        <v>t</v>
      </c>
      <c r="DE48" s="24" t="str">
        <f t="shared" si="104"/>
        <v/>
      </c>
      <c r="DF48" s="24" t="str">
        <f t="shared" si="105"/>
        <v/>
      </c>
      <c r="DG48" s="24" t="str">
        <f t="shared" si="106"/>
        <v/>
      </c>
      <c r="DH48" s="24" t="str">
        <f t="shared" si="107"/>
        <v>g</v>
      </c>
      <c r="DI48" s="25" t="str">
        <f t="shared" si="108"/>
        <v/>
      </c>
    </row>
    <row r="49" spans="1:113" x14ac:dyDescent="0.3">
      <c r="A49" s="46"/>
      <c r="CB49" s="13"/>
      <c r="CC49" s="23" t="str">
        <f t="shared" si="109"/>
        <v/>
      </c>
      <c r="CD49" s="24" t="str">
        <f t="shared" si="79"/>
        <v>t</v>
      </c>
      <c r="CE49" s="24" t="str">
        <f t="shared" si="80"/>
        <v>u</v>
      </c>
      <c r="CF49" s="24" t="str">
        <f t="shared" si="81"/>
        <v>u</v>
      </c>
      <c r="CG49" s="24" t="str">
        <f t="shared" si="82"/>
        <v>u</v>
      </c>
      <c r="CH49" s="24" t="str">
        <f t="shared" si="83"/>
        <v/>
      </c>
      <c r="CI49" s="24" t="str">
        <f t="shared" si="84"/>
        <v/>
      </c>
      <c r="CJ49" s="24" t="str">
        <f t="shared" si="85"/>
        <v>g</v>
      </c>
      <c r="CK49" s="24" t="str">
        <f t="shared" si="86"/>
        <v/>
      </c>
      <c r="CL49" s="24" t="str">
        <f t="shared" si="87"/>
        <v>g</v>
      </c>
      <c r="CM49" s="24"/>
      <c r="CN49" s="24" t="str">
        <f t="shared" si="89"/>
        <v/>
      </c>
      <c r="CO49" s="24" t="str">
        <f t="shared" si="90"/>
        <v>t</v>
      </c>
      <c r="CP49" s="24" t="str">
        <f t="shared" si="91"/>
        <v>t</v>
      </c>
      <c r="CQ49" s="24" t="str">
        <f t="shared" si="92"/>
        <v/>
      </c>
      <c r="CR49" s="25" t="str">
        <f t="shared" si="93"/>
        <v/>
      </c>
      <c r="CS49" s="19"/>
      <c r="CT49" s="23" t="str">
        <f t="shared" si="110"/>
        <v>t</v>
      </c>
      <c r="CU49" s="24" t="str">
        <f t="shared" si="94"/>
        <v/>
      </c>
      <c r="CV49" s="24" t="str">
        <f t="shared" si="95"/>
        <v/>
      </c>
      <c r="CW49" s="24" t="str">
        <f t="shared" si="96"/>
        <v/>
      </c>
      <c r="CX49" s="24" t="str">
        <f t="shared" si="97"/>
        <v/>
      </c>
      <c r="CY49" s="24" t="str">
        <f t="shared" si="98"/>
        <v>u</v>
      </c>
      <c r="CZ49" s="24" t="str">
        <f t="shared" si="99"/>
        <v>u</v>
      </c>
      <c r="DA49" s="24" t="str">
        <f t="shared" si="100"/>
        <v/>
      </c>
      <c r="DB49" s="24" t="str">
        <f t="shared" si="101"/>
        <v>t</v>
      </c>
      <c r="DC49" s="24" t="str">
        <f t="shared" si="102"/>
        <v/>
      </c>
      <c r="DD49" s="24"/>
      <c r="DE49" s="24" t="str">
        <f t="shared" si="104"/>
        <v>u</v>
      </c>
      <c r="DF49" s="24" t="str">
        <f t="shared" si="105"/>
        <v/>
      </c>
      <c r="DG49" s="24" t="str">
        <f t="shared" si="106"/>
        <v/>
      </c>
      <c r="DH49" s="24" t="str">
        <f t="shared" si="107"/>
        <v>t</v>
      </c>
      <c r="DI49" s="25" t="str">
        <f t="shared" si="108"/>
        <v>u</v>
      </c>
    </row>
    <row r="50" spans="1:113" x14ac:dyDescent="0.3">
      <c r="A50" s="46"/>
      <c r="CC50" s="23" t="str">
        <f t="shared" si="109"/>
        <v>u</v>
      </c>
      <c r="CD50" s="24" t="str">
        <f t="shared" si="79"/>
        <v/>
      </c>
      <c r="CE50" s="24" t="str">
        <f t="shared" si="80"/>
        <v/>
      </c>
      <c r="CF50" s="24" t="str">
        <f t="shared" si="81"/>
        <v>g</v>
      </c>
      <c r="CG50" s="24" t="str">
        <f t="shared" si="82"/>
        <v>g</v>
      </c>
      <c r="CH50" s="24" t="str">
        <f t="shared" si="83"/>
        <v>u</v>
      </c>
      <c r="CI50" s="24" t="str">
        <f t="shared" si="84"/>
        <v/>
      </c>
      <c r="CJ50" s="24" t="str">
        <f t="shared" si="85"/>
        <v>t</v>
      </c>
      <c r="CK50" s="24" t="str">
        <f t="shared" si="86"/>
        <v/>
      </c>
      <c r="CL50" s="24" t="str">
        <f t="shared" si="87"/>
        <v/>
      </c>
      <c r="CM50" s="24" t="str">
        <f t="shared" si="88"/>
        <v>g</v>
      </c>
      <c r="CN50" s="24"/>
      <c r="CO50" s="24" t="str">
        <f t="shared" si="90"/>
        <v/>
      </c>
      <c r="CP50" s="24" t="str">
        <f t="shared" si="91"/>
        <v/>
      </c>
      <c r="CQ50" s="24" t="str">
        <f t="shared" si="92"/>
        <v>t</v>
      </c>
      <c r="CR50" s="25" t="str">
        <f t="shared" si="93"/>
        <v>u</v>
      </c>
      <c r="CS50" s="19"/>
      <c r="CT50" s="23" t="str">
        <f t="shared" si="110"/>
        <v/>
      </c>
      <c r="CU50" s="24" t="str">
        <f t="shared" si="94"/>
        <v>t</v>
      </c>
      <c r="CV50" s="24" t="str">
        <f t="shared" si="95"/>
        <v>u</v>
      </c>
      <c r="CW50" s="24" t="str">
        <f t="shared" si="96"/>
        <v/>
      </c>
      <c r="CX50" s="24" t="str">
        <f t="shared" si="97"/>
        <v/>
      </c>
      <c r="CY50" s="24" t="str">
        <f t="shared" si="98"/>
        <v/>
      </c>
      <c r="CZ50" s="24" t="str">
        <f t="shared" si="99"/>
        <v>u</v>
      </c>
      <c r="DA50" s="24" t="str">
        <f t="shared" si="100"/>
        <v/>
      </c>
      <c r="DB50" s="24" t="str">
        <f t="shared" si="101"/>
        <v>t</v>
      </c>
      <c r="DC50" s="24" t="str">
        <f t="shared" si="102"/>
        <v>u</v>
      </c>
      <c r="DD50" s="24" t="str">
        <f t="shared" si="103"/>
        <v/>
      </c>
      <c r="DE50" s="24"/>
      <c r="DF50" s="24" t="str">
        <f t="shared" si="105"/>
        <v>t</v>
      </c>
      <c r="DG50" s="24" t="str">
        <f t="shared" si="106"/>
        <v>t</v>
      </c>
      <c r="DH50" s="24" t="str">
        <f t="shared" si="107"/>
        <v/>
      </c>
      <c r="DI50" s="25" t="str">
        <f t="shared" si="108"/>
        <v/>
      </c>
    </row>
    <row r="51" spans="1:113" x14ac:dyDescent="0.3">
      <c r="CC51" s="23" t="str">
        <f t="shared" si="109"/>
        <v/>
      </c>
      <c r="CD51" s="24" t="str">
        <f t="shared" si="79"/>
        <v/>
      </c>
      <c r="CE51" s="24" t="str">
        <f t="shared" si="80"/>
        <v>t</v>
      </c>
      <c r="CF51" s="24" t="str">
        <f t="shared" si="81"/>
        <v/>
      </c>
      <c r="CG51" s="24" t="str">
        <f t="shared" si="82"/>
        <v/>
      </c>
      <c r="CH51" s="24" t="str">
        <f t="shared" si="83"/>
        <v>u</v>
      </c>
      <c r="CI51" s="24" t="str">
        <f t="shared" si="84"/>
        <v/>
      </c>
      <c r="CJ51" s="24" t="str">
        <f t="shared" si="85"/>
        <v>t</v>
      </c>
      <c r="CK51" s="24" t="str">
        <f t="shared" si="86"/>
        <v>g</v>
      </c>
      <c r="CL51" s="24" t="str">
        <f t="shared" si="87"/>
        <v/>
      </c>
      <c r="CM51" s="24" t="str">
        <f t="shared" si="88"/>
        <v/>
      </c>
      <c r="CN51" s="24" t="str">
        <f t="shared" si="89"/>
        <v>u</v>
      </c>
      <c r="CO51" s="24"/>
      <c r="CP51" s="24" t="str">
        <f t="shared" si="91"/>
        <v/>
      </c>
      <c r="CQ51" s="24" t="str">
        <f t="shared" si="92"/>
        <v>g</v>
      </c>
      <c r="CR51" s="25" t="str">
        <f t="shared" si="93"/>
        <v>u</v>
      </c>
      <c r="CS51" s="19"/>
      <c r="CT51" s="23" t="str">
        <f t="shared" si="110"/>
        <v>t</v>
      </c>
      <c r="CU51" s="24" t="str">
        <f t="shared" si="94"/>
        <v>t</v>
      </c>
      <c r="CV51" s="24" t="str">
        <f t="shared" si="95"/>
        <v/>
      </c>
      <c r="CW51" s="24" t="str">
        <f t="shared" si="96"/>
        <v>u</v>
      </c>
      <c r="CX51" s="24" t="str">
        <f t="shared" si="97"/>
        <v>t</v>
      </c>
      <c r="CY51" s="24" t="str">
        <f t="shared" si="98"/>
        <v/>
      </c>
      <c r="CZ51" s="24" t="str">
        <f t="shared" si="99"/>
        <v>u</v>
      </c>
      <c r="DA51" s="24" t="str">
        <f t="shared" si="100"/>
        <v/>
      </c>
      <c r="DB51" s="24" t="str">
        <f t="shared" si="101"/>
        <v/>
      </c>
      <c r="DC51" s="24" t="str">
        <f t="shared" si="102"/>
        <v>t</v>
      </c>
      <c r="DD51" s="24" t="str">
        <f t="shared" si="103"/>
        <v>t</v>
      </c>
      <c r="DE51" s="24" t="str">
        <f t="shared" si="104"/>
        <v/>
      </c>
      <c r="DF51" s="24"/>
      <c r="DG51" s="24" t="str">
        <f t="shared" si="106"/>
        <v>t</v>
      </c>
      <c r="DH51" s="24" t="str">
        <f t="shared" si="107"/>
        <v/>
      </c>
      <c r="DI51" s="25" t="str">
        <f t="shared" si="108"/>
        <v/>
      </c>
    </row>
    <row r="52" spans="1:113" x14ac:dyDescent="0.3">
      <c r="CC52" s="23" t="str">
        <f t="shared" si="109"/>
        <v/>
      </c>
      <c r="CD52" s="24" t="str">
        <f t="shared" si="79"/>
        <v>t</v>
      </c>
      <c r="CE52" s="24" t="str">
        <f t="shared" si="80"/>
        <v/>
      </c>
      <c r="CF52" s="24" t="str">
        <f t="shared" si="81"/>
        <v>u</v>
      </c>
      <c r="CG52" s="24" t="str">
        <f t="shared" si="82"/>
        <v>u</v>
      </c>
      <c r="CH52" s="24" t="str">
        <f t="shared" si="83"/>
        <v/>
      </c>
      <c r="CI52" s="24" t="str">
        <f t="shared" si="84"/>
        <v/>
      </c>
      <c r="CJ52" s="24" t="str">
        <f t="shared" si="85"/>
        <v/>
      </c>
      <c r="CK52" s="24" t="str">
        <f t="shared" si="86"/>
        <v>t</v>
      </c>
      <c r="CL52" s="24" t="str">
        <f t="shared" si="87"/>
        <v/>
      </c>
      <c r="CM52" s="24" t="str">
        <f t="shared" si="88"/>
        <v/>
      </c>
      <c r="CN52" s="24" t="str">
        <f t="shared" si="89"/>
        <v>t</v>
      </c>
      <c r="CO52" s="24" t="str">
        <f t="shared" si="90"/>
        <v>u</v>
      </c>
      <c r="CP52" s="24"/>
      <c r="CQ52" s="24" t="str">
        <f t="shared" si="92"/>
        <v>g</v>
      </c>
      <c r="CR52" s="25" t="str">
        <f t="shared" si="93"/>
        <v/>
      </c>
      <c r="CS52" s="19"/>
      <c r="CT52" s="23" t="str">
        <f t="shared" si="110"/>
        <v>u</v>
      </c>
      <c r="CU52" s="24" t="str">
        <f t="shared" si="94"/>
        <v/>
      </c>
      <c r="CV52" s="24" t="str">
        <f t="shared" si="95"/>
        <v>u</v>
      </c>
      <c r="CW52" s="24" t="str">
        <f t="shared" si="96"/>
        <v/>
      </c>
      <c r="CX52" s="24" t="str">
        <f t="shared" si="97"/>
        <v/>
      </c>
      <c r="CY52" s="24" t="str">
        <f t="shared" si="98"/>
        <v>u</v>
      </c>
      <c r="CZ52" s="24" t="str">
        <f t="shared" si="99"/>
        <v>t</v>
      </c>
      <c r="DA52" s="24" t="str">
        <f t="shared" si="100"/>
        <v>g</v>
      </c>
      <c r="DB52" s="24" t="str">
        <f t="shared" si="101"/>
        <v/>
      </c>
      <c r="DC52" s="24" t="str">
        <f t="shared" si="102"/>
        <v>g</v>
      </c>
      <c r="DD52" s="24" t="str">
        <f t="shared" si="103"/>
        <v>t</v>
      </c>
      <c r="DE52" s="24" t="str">
        <f t="shared" si="104"/>
        <v/>
      </c>
      <c r="DF52" s="24" t="str">
        <f t="shared" si="105"/>
        <v/>
      </c>
      <c r="DG52" s="24"/>
      <c r="DH52" s="24" t="str">
        <f t="shared" si="107"/>
        <v/>
      </c>
      <c r="DI52" s="25" t="str">
        <f t="shared" si="108"/>
        <v>u</v>
      </c>
    </row>
    <row r="53" spans="1:113" x14ac:dyDescent="0.3">
      <c r="CC53" s="23" t="str">
        <f t="shared" si="109"/>
        <v>g</v>
      </c>
      <c r="CD53" s="24" t="str">
        <f t="shared" si="79"/>
        <v/>
      </c>
      <c r="CE53" s="24" t="str">
        <f t="shared" si="80"/>
        <v/>
      </c>
      <c r="CF53" s="24" t="str">
        <f t="shared" si="81"/>
        <v/>
      </c>
      <c r="CG53" s="24" t="str">
        <f t="shared" si="82"/>
        <v/>
      </c>
      <c r="CH53" s="24" t="str">
        <f t="shared" si="83"/>
        <v>g</v>
      </c>
      <c r="CI53" s="24" t="str">
        <f t="shared" si="84"/>
        <v>t</v>
      </c>
      <c r="CJ53" s="24" t="str">
        <f t="shared" si="85"/>
        <v/>
      </c>
      <c r="CK53" s="24" t="str">
        <f t="shared" si="86"/>
        <v>t</v>
      </c>
      <c r="CL53" s="24" t="str">
        <f t="shared" si="87"/>
        <v>t</v>
      </c>
      <c r="CM53" s="24" t="str">
        <f t="shared" si="88"/>
        <v>u</v>
      </c>
      <c r="CN53" s="24" t="str">
        <f t="shared" si="89"/>
        <v/>
      </c>
      <c r="CO53" s="24" t="str">
        <f t="shared" si="90"/>
        <v/>
      </c>
      <c r="CP53" s="24" t="str">
        <f t="shared" si="91"/>
        <v/>
      </c>
      <c r="CQ53" s="24"/>
      <c r="CR53" s="25" t="str">
        <f t="shared" si="93"/>
        <v>g</v>
      </c>
      <c r="CS53" s="19"/>
      <c r="CT53" s="23" t="str">
        <f t="shared" si="110"/>
        <v/>
      </c>
      <c r="CU53" s="24" t="str">
        <f t="shared" si="94"/>
        <v>t</v>
      </c>
      <c r="CV53" s="24" t="str">
        <f t="shared" si="95"/>
        <v>u</v>
      </c>
      <c r="CW53" s="24" t="str">
        <f t="shared" si="96"/>
        <v>u</v>
      </c>
      <c r="CX53" s="24" t="str">
        <f t="shared" si="97"/>
        <v>u</v>
      </c>
      <c r="CY53" s="24" t="str">
        <f t="shared" si="98"/>
        <v/>
      </c>
      <c r="CZ53" s="24" t="str">
        <f t="shared" si="99"/>
        <v/>
      </c>
      <c r="DA53" s="24" t="str">
        <f t="shared" si="100"/>
        <v>g</v>
      </c>
      <c r="DB53" s="24" t="str">
        <f t="shared" si="101"/>
        <v/>
      </c>
      <c r="DC53" s="24" t="str">
        <f t="shared" si="102"/>
        <v/>
      </c>
      <c r="DD53" s="24" t="str">
        <f t="shared" si="103"/>
        <v/>
      </c>
      <c r="DE53" s="24" t="str">
        <f t="shared" si="104"/>
        <v>t</v>
      </c>
      <c r="DF53" s="24" t="str">
        <f t="shared" si="105"/>
        <v>g</v>
      </c>
      <c r="DG53" s="24" t="str">
        <f t="shared" si="106"/>
        <v>u</v>
      </c>
      <c r="DH53" s="24"/>
      <c r="DI53" s="25" t="str">
        <f t="shared" si="108"/>
        <v/>
      </c>
    </row>
    <row r="54" spans="1:113" ht="15.75" thickBot="1" x14ac:dyDescent="0.35">
      <c r="CC54" s="26" t="str">
        <f t="shared" si="109"/>
        <v>u</v>
      </c>
      <c r="CD54" s="27" t="str">
        <f t="shared" si="79"/>
        <v>u</v>
      </c>
      <c r="CE54" s="27" t="str">
        <f t="shared" si="80"/>
        <v/>
      </c>
      <c r="CF54" s="27" t="str">
        <f t="shared" si="81"/>
        <v>g</v>
      </c>
      <c r="CG54" s="27" t="str">
        <f t="shared" si="82"/>
        <v>t</v>
      </c>
      <c r="CH54" s="27" t="str">
        <f t="shared" si="83"/>
        <v/>
      </c>
      <c r="CI54" s="27" t="str">
        <f t="shared" si="84"/>
        <v>t</v>
      </c>
      <c r="CJ54" s="27" t="str">
        <f t="shared" si="85"/>
        <v/>
      </c>
      <c r="CK54" s="27" t="str">
        <f t="shared" si="86"/>
        <v/>
      </c>
      <c r="CL54" s="27" t="str">
        <f t="shared" si="87"/>
        <v/>
      </c>
      <c r="CM54" s="27" t="str">
        <f t="shared" si="88"/>
        <v>g</v>
      </c>
      <c r="CN54" s="27" t="str">
        <f t="shared" si="89"/>
        <v/>
      </c>
      <c r="CO54" s="27" t="str">
        <f t="shared" si="90"/>
        <v/>
      </c>
      <c r="CP54" s="27" t="str">
        <f t="shared" si="91"/>
        <v>u</v>
      </c>
      <c r="CQ54" s="27" t="str">
        <f t="shared" si="92"/>
        <v/>
      </c>
      <c r="CR54" s="28"/>
      <c r="CS54" s="19"/>
      <c r="CT54" s="26" t="str">
        <f t="shared" si="110"/>
        <v/>
      </c>
      <c r="CU54" s="27" t="str">
        <f t="shared" si="94"/>
        <v/>
      </c>
      <c r="CV54" s="27" t="str">
        <f t="shared" si="95"/>
        <v>u</v>
      </c>
      <c r="CW54" s="27" t="str">
        <f t="shared" si="96"/>
        <v/>
      </c>
      <c r="CX54" s="27" t="str">
        <f t="shared" si="97"/>
        <v/>
      </c>
      <c r="CY54" s="27" t="str">
        <f t="shared" si="98"/>
        <v>t</v>
      </c>
      <c r="CZ54" s="27" t="str">
        <f t="shared" si="99"/>
        <v/>
      </c>
      <c r="DA54" s="27" t="str">
        <f t="shared" si="100"/>
        <v>u</v>
      </c>
      <c r="DB54" s="27" t="str">
        <f t="shared" si="101"/>
        <v>u</v>
      </c>
      <c r="DC54" s="27" t="str">
        <f t="shared" si="102"/>
        <v>t</v>
      </c>
      <c r="DD54" s="27" t="str">
        <f t="shared" si="103"/>
        <v/>
      </c>
      <c r="DE54" s="27" t="str">
        <f t="shared" si="104"/>
        <v>u</v>
      </c>
      <c r="DF54" s="27" t="str">
        <f t="shared" si="105"/>
        <v>g</v>
      </c>
      <c r="DG54" s="27" t="str">
        <f t="shared" si="106"/>
        <v/>
      </c>
      <c r="DH54" s="27" t="str">
        <f t="shared" si="107"/>
        <v>u</v>
      </c>
      <c r="DI54" s="28"/>
    </row>
  </sheetData>
  <mergeCells count="52">
    <mergeCell ref="AP3:AP4"/>
    <mergeCell ref="AQ3:AQ4"/>
    <mergeCell ref="AT3:AT4"/>
    <mergeCell ref="AU3:AU4"/>
    <mergeCell ref="Z3:Z4"/>
    <mergeCell ref="AN3:AN4"/>
    <mergeCell ref="AO3:AO4"/>
    <mergeCell ref="R3:R4"/>
    <mergeCell ref="S3:S4"/>
    <mergeCell ref="AM3:AM4"/>
    <mergeCell ref="AF3:AF4"/>
    <mergeCell ref="AC3:AC4"/>
    <mergeCell ref="AD3:AD4"/>
    <mergeCell ref="AI3:AI4"/>
    <mergeCell ref="AJ3:AJ4"/>
    <mergeCell ref="AL3:AL4"/>
    <mergeCell ref="AK3:AK4"/>
    <mergeCell ref="Y3:Y4"/>
    <mergeCell ref="AA3:AA4"/>
    <mergeCell ref="AB3:AB4"/>
    <mergeCell ref="T3:T4"/>
    <mergeCell ref="U3:U4"/>
    <mergeCell ref="V3:V4"/>
    <mergeCell ref="C3:H3"/>
    <mergeCell ref="F4:G4"/>
    <mergeCell ref="P3:P4"/>
    <mergeCell ref="Q3:Q4"/>
    <mergeCell ref="F23:H23"/>
    <mergeCell ref="AW3:AW4"/>
    <mergeCell ref="AX3:AX4"/>
    <mergeCell ref="AY3:AY4"/>
    <mergeCell ref="BL3:BL4"/>
    <mergeCell ref="BH3:BH4"/>
    <mergeCell ref="BI3:BI4"/>
    <mergeCell ref="BJ3:BJ4"/>
    <mergeCell ref="BK3:BK4"/>
    <mergeCell ref="W3:W4"/>
    <mergeCell ref="X3:X4"/>
    <mergeCell ref="BG3:BG4"/>
    <mergeCell ref="AE3:AE4"/>
    <mergeCell ref="AV3:AV4"/>
    <mergeCell ref="AR3:AR4"/>
    <mergeCell ref="AG3:AG4"/>
    <mergeCell ref="AH3:AH4"/>
    <mergeCell ref="BE3:BE4"/>
    <mergeCell ref="BF3:BF4"/>
    <mergeCell ref="AZ3:AZ4"/>
    <mergeCell ref="BA3:BA4"/>
    <mergeCell ref="AS3:AS4"/>
    <mergeCell ref="BD3:BD4"/>
    <mergeCell ref="BB3:BB4"/>
    <mergeCell ref="BC3:BC4"/>
  </mergeCells>
  <phoneticPr fontId="0" type="noConversion"/>
  <conditionalFormatting sqref="C5:C20 E5:N20">
    <cfRule type="expression" dxfId="20" priority="38" stopIfTrue="1">
      <formula>$D5=$C$3</formula>
    </cfRule>
  </conditionalFormatting>
  <conditionalFormatting sqref="D5:D20">
    <cfRule type="expression" dxfId="19" priority="39" stopIfTrue="1">
      <formula>$D5=$C$3</formula>
    </cfRule>
  </conditionalFormatting>
  <conditionalFormatting sqref="Q15:AF20 Q5:AF12">
    <cfRule type="expression" dxfId="18" priority="20">
      <formula>OR(AND(AG5=VOspd,VOspd&lt;100,VOspd&gt;0),AND(AW5=VOspd,VOspd&gt;100))</formula>
    </cfRule>
  </conditionalFormatting>
  <conditionalFormatting sqref="AG5:AV12 AG15:AV20">
    <cfRule type="expression" dxfId="17" priority="19">
      <formula>OR(AND(AG5=VOspd,VOspd&lt;100,VOspd&gt;0),AND(AW5=VOspd,VOspd&gt;100))</formula>
    </cfRule>
  </conditionalFormatting>
  <conditionalFormatting sqref="AW5:BL12 AW15:BL20">
    <cfRule type="expression" dxfId="16" priority="18">
      <formula>OR(AND(AG5=VOspd,VOspd&lt;100,VOspd&gt;0),AND(AW5=VOspd,VOspd&gt;100))</formula>
    </cfRule>
  </conditionalFormatting>
  <conditionalFormatting sqref="Q13:X13 AA13:AF13">
    <cfRule type="expression" dxfId="15" priority="17">
      <formula>OR(AND(AG13=VOspd,VOspd&lt;100,VOspd&gt;0),AND(AW13=VOspd,VOspd&gt;100))</formula>
    </cfRule>
  </conditionalFormatting>
  <conditionalFormatting sqref="AG13:AV13">
    <cfRule type="expression" dxfId="14" priority="16">
      <formula>OR(AND(AG13=VOspd,VOspd&lt;100,VOspd&gt;0),AND(AW13=VOspd,VOspd&gt;100))</formula>
    </cfRule>
  </conditionalFormatting>
  <conditionalFormatting sqref="AW13:BL13">
    <cfRule type="expression" dxfId="13" priority="15">
      <formula>OR(AND(AG13=VOspd,VOspd&lt;100,VOspd&gt;0),AND(AW13=VOspd,VOspd&gt;100))</formula>
    </cfRule>
  </conditionalFormatting>
  <conditionalFormatting sqref="Q14:X14 AA14:AF14">
    <cfRule type="expression" dxfId="12" priority="14">
      <formula>OR(AND(AG14=VOspd,VOspd&lt;100,VOspd&gt;0),AND(AW14=VOspd,VOspd&gt;100))</formula>
    </cfRule>
  </conditionalFormatting>
  <conditionalFormatting sqref="AG14:AP14 AR14:AV14">
    <cfRule type="expression" dxfId="11" priority="13">
      <formula>OR(AND(AG14=VOspd,VOspd&lt;100,VOspd&gt;0),AND(AW14=VOspd,VOspd&gt;100))</formula>
    </cfRule>
  </conditionalFormatting>
  <conditionalFormatting sqref="AW14:BF14 BH14:BL14">
    <cfRule type="expression" dxfId="10" priority="12">
      <formula>OR(AND(AG14=VOspd,VOspd&lt;100,VOspd&gt;0),AND(AW14=VOspd,VOspd&gt;100))</formula>
    </cfRule>
  </conditionalFormatting>
  <conditionalFormatting sqref="Z13">
    <cfRule type="expression" dxfId="9" priority="9">
      <formula>OR(AND(AP13=VOspd,VOspd&lt;100,VOspd&gt;0),AND(BF13=VOspd,VOspd&gt;100))</formula>
    </cfRule>
  </conditionalFormatting>
  <conditionalFormatting sqref="Z13">
    <cfRule type="expression" dxfId="8" priority="10">
      <formula>OR(AND(AP13=VOspd,VOspd&lt;100,VOspd&gt;0),AND(BF13=VOspd,VOspd&gt;100))</formula>
    </cfRule>
  </conditionalFormatting>
  <conditionalFormatting sqref="Y13">
    <cfRule type="expression" dxfId="7" priority="3">
      <formula>OR(AND(AO13=VOspd,VOspd&lt;100,VOspd&gt;0),AND(BE13=VOspd,VOspd&gt;100))</formula>
    </cfRule>
  </conditionalFormatting>
  <conditionalFormatting sqref="Y14">
    <cfRule type="expression" dxfId="6" priority="1">
      <formula>OR(AND(AO14=VOspd,VOspd&lt;100,VOspd&gt;0),AND(BE14=VOspd,VOspd&gt;100))</formula>
    </cfRule>
  </conditionalFormatting>
  <conditionalFormatting sqref="BG14">
    <cfRule type="expression" dxfId="5" priority="5">
      <formula>OR(AND(AQ14=VOspd,VOspd&lt;100,VOspd&gt;0),AND(BG14=VOspd,VOspd&gt;100))</formula>
    </cfRule>
  </conditionalFormatting>
  <conditionalFormatting sqref="AQ14">
    <cfRule type="expression" dxfId="4" priority="4">
      <formula>OR(AND(AQ14=VOspd,VOspd&lt;100,VOspd&gt;0),AND(BG14=VOspd,VOspd&gt;100))</formula>
    </cfRule>
  </conditionalFormatting>
  <conditionalFormatting sqref="Z14">
    <cfRule type="expression" dxfId="3" priority="2">
      <formula>OR(AND(AP14=VOspd,VOspd&lt;100,VOspd&gt;0),AND(BF14=VOspd,VOspd&gt;100))</formula>
    </cfRule>
  </conditionalFormatting>
  <dataValidations count="13">
    <dataValidation allowBlank="1" showInputMessage="1" showErrorMessage="1" prompt="Bij een forfait van de thuisploeg: zet 0-5* als uitslag. Bij een forfait van de uitploeg: zet *5-0 als uitslag. Bij een dubbele forfait: zet *5-5* als uitslag." sqref="R21"/>
    <dataValidation allowBlank="1" showInputMessage="1" showErrorMessage="1" prompt="Je kan zelf een andere datum ingeven indien gewenst." sqref="F23:H23"/>
    <dataValidation allowBlank="1" showErrorMessage="1" sqref="F31:H31"/>
    <dataValidation allowBlank="1" showInputMessage="1" showErrorMessage="1" sqref="Q5:AV20"/>
    <dataValidation allowBlank="1" showInputMessage="1" showErrorMessage="1" prompt="Deze kolom geeft het aantal verliespunten (Maximaal aantal punten te behalen min het werkelijk aantal behaalde punten)." sqref="N4"/>
    <dataValidation allowBlank="1" showInputMessage="1" showErrorMessage="1" prompt="Deze kolom geeft het doelsaldo (Saldo)." sqref="M4"/>
    <dataValidation allowBlank="1" showInputMessage="1" showErrorMessage="1" prompt="Deze kolom geeft het aantal geïncasseerde doelpunten." sqref="L4"/>
    <dataValidation allowBlank="1" showInputMessage="1" showErrorMessage="1" prompt="Deze kolom geeft het aantal gemaakte doelpunten." sqref="K4"/>
    <dataValidation allowBlank="1" showInputMessage="1" showErrorMessage="1" prompt="Deze kolom geeft het aantal gelijke spelen (Gelijk)." sqref="J4"/>
    <dataValidation allowBlank="1" showInputMessage="1" showErrorMessage="1" prompt="Deze kolom geeft het aantal verloren wedstrijden (Verlies)." sqref="I4"/>
    <dataValidation allowBlank="1" showInputMessage="1" showErrorMessage="1" prompt="Deze kolom geeft het aantal gewonnen wedstrijden (Winst)." sqref="H4"/>
    <dataValidation allowBlank="1" showInputMessage="1" showErrorMessage="1" prompt="Deze kolom geeft het aantal gespeelde Matchen. Ook geeft ze weer of een ploeg meer (+) of minder (-) matchen speelde dan de meeste andere ploegen." sqref="F4:G4"/>
    <dataValidation allowBlank="1" showInputMessage="1" showErrorMessage="1" prompt="Deze kolom geeft het aantal Punten." sqref="E4"/>
  </dataValidations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41" r:id="rId4" name="CommandButton2">
          <controlPr defaultSize="0" autoLine="0" r:id="rId5">
            <anchor>
              <from>
                <xdr:col>21</xdr:col>
                <xdr:colOff>142875</xdr:colOff>
                <xdr:row>22</xdr:row>
                <xdr:rowOff>95250</xdr:rowOff>
              </from>
              <to>
                <xdr:col>25</xdr:col>
                <xdr:colOff>114300</xdr:colOff>
                <xdr:row>24</xdr:row>
                <xdr:rowOff>161925</xdr:rowOff>
              </to>
            </anchor>
          </controlPr>
        </control>
      </mc:Choice>
      <mc:Fallback>
        <control shapeId="1041" r:id="rId4" name="CommandButton2"/>
      </mc:Fallback>
    </mc:AlternateContent>
    <mc:AlternateContent xmlns:mc="http://schemas.openxmlformats.org/markup-compatibility/2006">
      <mc:Choice Requires="x14">
        <control shapeId="1037" r:id="rId6" name="Toonspeeldag">
          <controlPr defaultSize="0" autoLine="0" linkedCell="F31" r:id="rId7">
            <anchor moveWithCells="1">
              <from>
                <xdr:col>7</xdr:col>
                <xdr:colOff>152400</xdr:colOff>
                <xdr:row>30</xdr:row>
                <xdr:rowOff>9525</xdr:rowOff>
              </from>
              <to>
                <xdr:col>8</xdr:col>
                <xdr:colOff>0</xdr:colOff>
                <xdr:row>31</xdr:row>
                <xdr:rowOff>0</xdr:rowOff>
              </to>
            </anchor>
          </controlPr>
        </control>
      </mc:Choice>
      <mc:Fallback>
        <control shapeId="1037" r:id="rId6" name="Toonspeeldag"/>
      </mc:Fallback>
    </mc:AlternateContent>
    <mc:AlternateContent xmlns:mc="http://schemas.openxmlformats.org/markup-compatibility/2006">
      <mc:Choice Requires="x14">
        <control shapeId="1032" r:id="rId8" name="obStandUit">
          <controlPr defaultSize="0" autoLine="0" r:id="rId9">
            <anchor moveWithCells="1" sizeWithCells="1">
              <from>
                <xdr:col>11</xdr:col>
                <xdr:colOff>57150</xdr:colOff>
                <xdr:row>2</xdr:row>
                <xdr:rowOff>628650</xdr:rowOff>
              </from>
              <to>
                <xdr:col>12</xdr:col>
                <xdr:colOff>295275</xdr:colOff>
                <xdr:row>2</xdr:row>
                <xdr:rowOff>885825</xdr:rowOff>
              </to>
            </anchor>
          </controlPr>
        </control>
      </mc:Choice>
      <mc:Fallback>
        <control shapeId="1032" r:id="rId8" name="obStandUit"/>
      </mc:Fallback>
    </mc:AlternateContent>
    <mc:AlternateContent xmlns:mc="http://schemas.openxmlformats.org/markup-compatibility/2006">
      <mc:Choice Requires="x14">
        <control shapeId="1031" r:id="rId10" name="obStandThuis">
          <controlPr defaultSize="0" autoLine="0" r:id="rId11">
            <anchor moveWithCells="1" sizeWithCells="1">
              <from>
                <xdr:col>11</xdr:col>
                <xdr:colOff>57150</xdr:colOff>
                <xdr:row>2</xdr:row>
                <xdr:rowOff>428625</xdr:rowOff>
              </from>
              <to>
                <xdr:col>12</xdr:col>
                <xdr:colOff>295275</xdr:colOff>
                <xdr:row>2</xdr:row>
                <xdr:rowOff>647700</xdr:rowOff>
              </to>
            </anchor>
          </controlPr>
        </control>
      </mc:Choice>
      <mc:Fallback>
        <control shapeId="1031" r:id="rId10" name="obStandThuis"/>
      </mc:Fallback>
    </mc:AlternateContent>
    <mc:AlternateContent xmlns:mc="http://schemas.openxmlformats.org/markup-compatibility/2006">
      <mc:Choice Requires="x14">
        <control shapeId="1030" r:id="rId12" name="obStandTerug">
          <controlPr defaultSize="0" autoLine="0" r:id="rId13">
            <anchor moveWithCells="1" sizeWithCells="1">
              <from>
                <xdr:col>8</xdr:col>
                <xdr:colOff>47625</xdr:colOff>
                <xdr:row>2</xdr:row>
                <xdr:rowOff>590550</xdr:rowOff>
              </from>
              <to>
                <xdr:col>10</xdr:col>
                <xdr:colOff>228600</xdr:colOff>
                <xdr:row>2</xdr:row>
                <xdr:rowOff>895350</xdr:rowOff>
              </to>
            </anchor>
          </controlPr>
        </control>
      </mc:Choice>
      <mc:Fallback>
        <control shapeId="1030" r:id="rId12" name="obStandTerug"/>
      </mc:Fallback>
    </mc:AlternateContent>
    <mc:AlternateContent xmlns:mc="http://schemas.openxmlformats.org/markup-compatibility/2006">
      <mc:Choice Requires="x14">
        <control shapeId="1029" r:id="rId14" name="obStandHeen">
          <controlPr defaultSize="0" autoLine="0" r:id="rId15">
            <anchor moveWithCells="1" sizeWithCells="1">
              <from>
                <xdr:col>8</xdr:col>
                <xdr:colOff>47625</xdr:colOff>
                <xdr:row>2</xdr:row>
                <xdr:rowOff>400050</xdr:rowOff>
              </from>
              <to>
                <xdr:col>10</xdr:col>
                <xdr:colOff>228600</xdr:colOff>
                <xdr:row>2</xdr:row>
                <xdr:rowOff>638175</xdr:rowOff>
              </to>
            </anchor>
          </controlPr>
        </control>
      </mc:Choice>
      <mc:Fallback>
        <control shapeId="1029" r:id="rId14" name="obStandHeen"/>
      </mc:Fallback>
    </mc:AlternateContent>
    <mc:AlternateContent xmlns:mc="http://schemas.openxmlformats.org/markup-compatibility/2006">
      <mc:Choice Requires="x14">
        <control shapeId="1028" r:id="rId16" name="obStandAlles">
          <controlPr defaultSize="0" autoLine="0" r:id="rId17">
            <anchor moveWithCells="1" sizeWithCells="1">
              <from>
                <xdr:col>8</xdr:col>
                <xdr:colOff>47625</xdr:colOff>
                <xdr:row>2</xdr:row>
                <xdr:rowOff>152400</xdr:rowOff>
              </from>
              <to>
                <xdr:col>10</xdr:col>
                <xdr:colOff>228600</xdr:colOff>
                <xdr:row>2</xdr:row>
                <xdr:rowOff>419100</xdr:rowOff>
              </to>
            </anchor>
          </controlPr>
        </control>
      </mc:Choice>
      <mc:Fallback>
        <control shapeId="1028" r:id="rId16" name="obStandAlles"/>
      </mc:Fallback>
    </mc:AlternateContent>
    <mc:AlternateContent xmlns:mc="http://schemas.openxmlformats.org/markup-compatibility/2006">
      <mc:Choice Requires="x14">
        <control shapeId="1027" r:id="rId18" name="obWeergaveDatums">
          <controlPr defaultSize="0" autoLine="0" r:id="rId19">
            <anchor moveWithCells="1" sizeWithCells="1">
              <from>
                <xdr:col>15</xdr:col>
                <xdr:colOff>95250</xdr:colOff>
                <xdr:row>2</xdr:row>
                <xdr:rowOff>819150</xdr:rowOff>
              </from>
              <to>
                <xdr:col>15</xdr:col>
                <xdr:colOff>1019175</xdr:colOff>
                <xdr:row>3</xdr:row>
                <xdr:rowOff>104775</xdr:rowOff>
              </to>
            </anchor>
          </controlPr>
        </control>
      </mc:Choice>
      <mc:Fallback>
        <control shapeId="1027" r:id="rId18" name="obWeergaveDatums"/>
      </mc:Fallback>
    </mc:AlternateContent>
    <mc:AlternateContent xmlns:mc="http://schemas.openxmlformats.org/markup-compatibility/2006">
      <mc:Choice Requires="x14">
        <control shapeId="1026" r:id="rId20" name="obWeergaveSpeeldagen">
          <controlPr defaultSize="0" autoLine="0" r:id="rId21">
            <anchor moveWithCells="1" sizeWithCells="1">
              <from>
                <xdr:col>15</xdr:col>
                <xdr:colOff>95250</xdr:colOff>
                <xdr:row>2</xdr:row>
                <xdr:rowOff>476250</xdr:rowOff>
              </from>
              <to>
                <xdr:col>15</xdr:col>
                <xdr:colOff>1028700</xdr:colOff>
                <xdr:row>2</xdr:row>
                <xdr:rowOff>733425</xdr:rowOff>
              </to>
            </anchor>
          </controlPr>
        </control>
      </mc:Choice>
      <mc:Fallback>
        <control shapeId="1026" r:id="rId20" name="obWeergaveSpeeldagen"/>
      </mc:Fallback>
    </mc:AlternateContent>
    <mc:AlternateContent xmlns:mc="http://schemas.openxmlformats.org/markup-compatibility/2006">
      <mc:Choice Requires="x14">
        <control shapeId="1025" r:id="rId22" name="obWeergaveUitslagen">
          <controlPr defaultSize="0" autoLine="0" r:id="rId23">
            <anchor moveWithCells="1" sizeWithCells="1">
              <from>
                <xdr:col>15</xdr:col>
                <xdr:colOff>95250</xdr:colOff>
                <xdr:row>2</xdr:row>
                <xdr:rowOff>123825</xdr:rowOff>
              </from>
              <to>
                <xdr:col>15</xdr:col>
                <xdr:colOff>1019175</xdr:colOff>
                <xdr:row>2</xdr:row>
                <xdr:rowOff>390525</xdr:rowOff>
              </to>
            </anchor>
          </controlPr>
        </control>
      </mc:Choice>
      <mc:Fallback>
        <control shapeId="1025" r:id="rId22" name="obWeergaveUitslagen"/>
      </mc:Fallback>
    </mc:AlternateContent>
    <mc:AlternateContent xmlns:mc="http://schemas.openxmlformats.org/markup-compatibility/2006">
      <mc:Choice Requires="x14">
        <control shapeId="1039" r:id="rId24" name="toggleKleur">
          <controlPr defaultSize="0" autoLine="0" r:id="rId25">
            <anchor>
              <from>
                <xdr:col>23</xdr:col>
                <xdr:colOff>180975</xdr:colOff>
                <xdr:row>25</xdr:row>
                <xdr:rowOff>123825</xdr:rowOff>
              </from>
              <to>
                <xdr:col>27</xdr:col>
                <xdr:colOff>161925</xdr:colOff>
                <xdr:row>27</xdr:row>
                <xdr:rowOff>123825</xdr:rowOff>
              </to>
            </anchor>
          </controlPr>
        </control>
      </mc:Choice>
      <mc:Fallback>
        <control shapeId="1039" r:id="rId24" name="toggleKleur"/>
      </mc:Fallback>
    </mc:AlternateContent>
    <mc:AlternateContent xmlns:mc="http://schemas.openxmlformats.org/markup-compatibility/2006">
      <mc:Choice Requires="x14">
        <control shapeId="1040" r:id="rId26" name="CommandButton1">
          <controlPr defaultSize="0" autoLine="0" r:id="rId27">
            <anchor>
              <from>
                <xdr:col>25</xdr:col>
                <xdr:colOff>304800</xdr:colOff>
                <xdr:row>22</xdr:row>
                <xdr:rowOff>85725</xdr:rowOff>
              </from>
              <to>
                <xdr:col>29</xdr:col>
                <xdr:colOff>276225</xdr:colOff>
                <xdr:row>24</xdr:row>
                <xdr:rowOff>152400</xdr:rowOff>
              </to>
            </anchor>
          </controlPr>
        </control>
      </mc:Choice>
      <mc:Fallback>
        <control shapeId="1040" r:id="rId2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BJ102"/>
  <sheetViews>
    <sheetView workbookViewId="0"/>
  </sheetViews>
  <sheetFormatPr defaultRowHeight="12.75" x14ac:dyDescent="0.2"/>
  <cols>
    <col min="1" max="1" width="11.140625" style="125" customWidth="1"/>
    <col min="2" max="2" width="8.7109375" style="125" bestFit="1" customWidth="1"/>
    <col min="3" max="3" width="32.7109375" style="125" customWidth="1"/>
    <col min="4" max="4" width="6.7109375" style="125" bestFit="1" customWidth="1"/>
    <col min="5" max="5" width="13.7109375" bestFit="1" customWidth="1"/>
    <col min="6" max="6" width="16.5703125" bestFit="1" customWidth="1"/>
    <col min="7" max="7" width="11" bestFit="1" customWidth="1"/>
    <col min="8" max="8" width="9" style="125" customWidth="1"/>
    <col min="9" max="9" width="13" style="125" customWidth="1"/>
    <col min="10" max="10" width="8.7109375" style="125" bestFit="1" customWidth="1"/>
    <col min="11" max="11" width="27" style="125" bestFit="1" customWidth="1"/>
    <col min="12" max="12" width="15.85546875" style="125" bestFit="1" customWidth="1"/>
    <col min="13" max="13" width="17.85546875" style="125" customWidth="1"/>
    <col min="14" max="14" width="13.7109375" style="125" bestFit="1" customWidth="1"/>
    <col min="15" max="15" width="11" style="125" bestFit="1" customWidth="1"/>
    <col min="16" max="16" width="11" bestFit="1" customWidth="1"/>
    <col min="17" max="18" width="15.85546875" bestFit="1" customWidth="1"/>
    <col min="19" max="19" width="6" style="125" customWidth="1"/>
    <col min="20" max="20" width="11.42578125" style="125" customWidth="1"/>
    <col min="21" max="21" width="8.7109375" style="125" bestFit="1" customWidth="1"/>
    <col min="22" max="22" width="27.28515625" style="125" bestFit="1" customWidth="1"/>
    <col min="23" max="23" width="6.42578125" style="125" bestFit="1" customWidth="1"/>
    <col min="24" max="24" width="7.7109375" bestFit="1" customWidth="1"/>
    <col min="25" max="25" width="9" bestFit="1" customWidth="1"/>
    <col min="26" max="26" width="10" bestFit="1" customWidth="1"/>
    <col min="27" max="27" width="11" bestFit="1" customWidth="1"/>
    <col min="28" max="28" width="6.140625" bestFit="1" customWidth="1"/>
    <col min="29" max="29" width="6.5703125" bestFit="1" customWidth="1"/>
    <col min="30" max="30" width="28.28515625" style="125" bestFit="1" customWidth="1"/>
    <col min="31" max="31" width="2" style="125" bestFit="1" customWidth="1"/>
    <col min="32" max="32" width="21.140625" style="125" bestFit="1" customWidth="1"/>
    <col min="33" max="33" width="5.85546875" style="125" bestFit="1" customWidth="1"/>
    <col min="34" max="34" width="11.85546875" style="125" bestFit="1" customWidth="1"/>
    <col min="35" max="35" width="12.42578125" style="125" customWidth="1"/>
    <col min="36" max="36" width="15.140625" style="125" bestFit="1" customWidth="1"/>
    <col min="37" max="37" width="11" style="125" bestFit="1" customWidth="1"/>
    <col min="38" max="38" width="6" style="125" bestFit="1" customWidth="1"/>
    <col min="39" max="39" width="19.140625" style="125" bestFit="1" customWidth="1"/>
    <col min="40" max="40" width="6.7109375" style="125" bestFit="1" customWidth="1"/>
    <col min="41" max="41" width="9.140625" style="125"/>
    <col min="42" max="42" width="7" style="125" bestFit="1" customWidth="1"/>
    <col min="43" max="43" width="9.140625" style="125"/>
    <col min="44" max="44" width="10.140625" style="125" bestFit="1" customWidth="1"/>
    <col min="45" max="45" width="20.140625" style="125" bestFit="1" customWidth="1"/>
    <col min="46" max="46" width="9.140625" style="125"/>
    <col min="47" max="47" width="16.140625" style="125" customWidth="1"/>
    <col min="48" max="48" width="28" style="125" bestFit="1" customWidth="1"/>
    <col min="49" max="49" width="8.85546875" style="125" customWidth="1"/>
    <col min="50" max="50" width="11" style="125" customWidth="1"/>
    <col min="51" max="51" width="8.7109375" style="125" bestFit="1" customWidth="1"/>
    <col min="52" max="56" width="9.140625" style="125"/>
    <col min="57" max="57" width="8.140625" style="125" bestFit="1" customWidth="1"/>
    <col min="58" max="58" width="8.7109375" style="125" bestFit="1" customWidth="1"/>
    <col min="59" max="59" width="20.5703125" style="125" bestFit="1" customWidth="1"/>
    <col min="60" max="60" width="6.7109375" style="125" bestFit="1" customWidth="1"/>
    <col min="61" max="62" width="16.5703125" style="125" bestFit="1" customWidth="1"/>
    <col min="63" max="16384" width="9.140625" style="125"/>
  </cols>
  <sheetData>
    <row r="1" spans="1:62" x14ac:dyDescent="0.2">
      <c r="A1" s="168">
        <f>MAX(1,COUNTA(A3:A20))</f>
        <v>8</v>
      </c>
      <c r="B1" s="168"/>
      <c r="C1" s="169"/>
      <c r="D1" s="168"/>
      <c r="E1" s="181" t="s">
        <v>25</v>
      </c>
      <c r="F1" s="181" t="s">
        <v>26</v>
      </c>
      <c r="G1" s="168" t="s">
        <v>27</v>
      </c>
      <c r="I1" s="168">
        <f>MAX(1,COUNT(I3:I20))</f>
        <v>1</v>
      </c>
      <c r="J1" s="168"/>
      <c r="K1" s="168"/>
      <c r="L1" s="168"/>
      <c r="M1" s="181" t="s">
        <v>25</v>
      </c>
      <c r="N1" s="181" t="s">
        <v>26</v>
      </c>
      <c r="O1" s="168" t="s">
        <v>27</v>
      </c>
      <c r="T1" s="168">
        <f>MAX(1,COUNT(T3:T20))</f>
        <v>5</v>
      </c>
      <c r="U1" s="168"/>
      <c r="V1" s="169" t="s">
        <v>29</v>
      </c>
      <c r="W1" s="168" t="s">
        <v>23</v>
      </c>
      <c r="AF1" s="190">
        <f>MAX(1,MIN(5,COUNTIF(spelersstatistieken!$B$2:$B$19,"&gt;0")))</f>
        <v>5</v>
      </c>
      <c r="AH1" s="125" t="s">
        <v>28</v>
      </c>
      <c r="AJ1" s="125">
        <f>MAX(1,COUNTA(AJ3:AJ20))</f>
        <v>2</v>
      </c>
      <c r="AR1" s="127">
        <f>COUNTIF('rooster en stand'!AW5:BL5,"=?")+COUNTBLANK('rooster en stand'!AW5:BL5)+COUNTIF('rooster en stand'!AW5:AW20,"=?")+COUNTBLANK('rooster en stand'!AW5:AW20)-2</f>
        <v>0</v>
      </c>
      <c r="AS1" s="125" t="s">
        <v>30</v>
      </c>
      <c r="AU1" s="168">
        <f>MAX(1,COUNTA(AU3:AU20))</f>
        <v>1</v>
      </c>
      <c r="AV1" s="169"/>
      <c r="AW1" s="168"/>
      <c r="AX1" s="168"/>
      <c r="AY1" s="168"/>
      <c r="BE1" s="168">
        <f>MAX(1,COUNT(BE3:BE32))</f>
        <v>30</v>
      </c>
      <c r="BF1" s="168"/>
      <c r="BG1" s="169"/>
      <c r="BH1" s="168"/>
      <c r="BI1" s="168" t="s">
        <v>25</v>
      </c>
      <c r="BJ1" s="168" t="s">
        <v>26</v>
      </c>
    </row>
    <row r="2" spans="1:62" x14ac:dyDescent="0.2">
      <c r="A2" s="170" t="s">
        <v>11</v>
      </c>
      <c r="B2" s="170" t="s">
        <v>17</v>
      </c>
      <c r="C2" s="169" t="str">
        <f>"Matchen van " &amp; IF('rooster en stand'!$J$31=0,"speeldag "&amp;'rooster en stand'!$F$31,TEXT('rooster en stand'!$J$31,"dd/mm/jjjj"))</f>
        <v>Matchen van speeldag 30</v>
      </c>
      <c r="D2" s="176" t="s">
        <v>16</v>
      </c>
      <c r="I2" s="170" t="s">
        <v>11</v>
      </c>
      <c r="J2" s="170" t="s">
        <v>17</v>
      </c>
      <c r="K2" s="169" t="str">
        <f>"Matchen van " &amp; IF('rooster en stand'!$J$31=0,"speeldag " &amp; 'rooster en stand'!$F$31+1,TEXT('rooster en stand'!$J$31+'rooster en stand'!$K$31,"dd/mm/jjjj"))</f>
        <v>Matchen van speeldag 31</v>
      </c>
      <c r="L2" s="170" t="s">
        <v>20</v>
      </c>
      <c r="M2" s="182"/>
      <c r="N2" s="182"/>
      <c r="O2" s="170"/>
      <c r="S2" s="128"/>
      <c r="T2" s="170" t="s">
        <v>11</v>
      </c>
      <c r="U2" s="170" t="s">
        <v>17</v>
      </c>
      <c r="V2" s="169" t="str">
        <f>V1 &amp; TEXT('rooster en stand'!$F$23,"dd/mm/jjjj")</f>
        <v>Recentste duels op 15/03/2015</v>
      </c>
      <c r="W2" s="176"/>
      <c r="AF2" s="130" t="s">
        <v>19</v>
      </c>
      <c r="AG2" s="125" t="s">
        <v>36</v>
      </c>
      <c r="AJ2" s="63" t="s">
        <v>13</v>
      </c>
      <c r="AK2" s="63" t="s">
        <v>11</v>
      </c>
      <c r="AL2" s="63" t="s">
        <v>14</v>
      </c>
      <c r="AM2" s="63" t="s">
        <v>15</v>
      </c>
      <c r="AN2" s="63" t="s">
        <v>16</v>
      </c>
      <c r="AR2" s="131">
        <v>1</v>
      </c>
      <c r="AS2" s="125" t="s">
        <v>32</v>
      </c>
      <c r="AU2" s="170" t="s">
        <v>76</v>
      </c>
      <c r="AV2" s="169" t="str">
        <f>"Uit het verleden... (" &amp; AU1 &amp; "x)"</f>
        <v>Uit het verleden... (1x)</v>
      </c>
      <c r="AW2" s="168" t="s">
        <v>16</v>
      </c>
      <c r="AX2" s="170" t="s">
        <v>11</v>
      </c>
      <c r="AY2" s="170" t="s">
        <v>17</v>
      </c>
      <c r="BE2" s="170" t="s">
        <v>11</v>
      </c>
      <c r="BF2" s="170" t="s">
        <v>17</v>
      </c>
      <c r="BG2" s="169" t="s">
        <v>55</v>
      </c>
      <c r="BH2" s="168" t="s">
        <v>16</v>
      </c>
      <c r="BI2" s="168"/>
      <c r="BJ2" s="168"/>
    </row>
    <row r="3" spans="1:62" x14ac:dyDescent="0.2">
      <c r="A3" s="177">
        <v>42077</v>
      </c>
      <c r="B3" s="172">
        <v>30</v>
      </c>
      <c r="C3" s="173" t="s">
        <v>141</v>
      </c>
      <c r="D3" s="180" t="str">
        <f>IF(G3=0,"",G3)</f>
        <v>1-2</v>
      </c>
      <c r="E3" t="s">
        <v>40</v>
      </c>
      <c r="F3" t="s">
        <v>44</v>
      </c>
      <c r="G3" s="185" t="s">
        <v>108</v>
      </c>
      <c r="H3" s="136"/>
      <c r="I3" s="177"/>
      <c r="J3" s="172"/>
      <c r="K3" s="173"/>
      <c r="L3" s="180" t="e">
        <f>IF(O3=0,"nr. " &amp; MATCH($M3,'rooster en stand'!$D$5:$D$20,0) &amp; " - nr. " &amp; MATCH($N3,'rooster en stand'!$D$5:$D$20,0),O3)</f>
        <v>#N/A</v>
      </c>
      <c r="M3" s="181"/>
      <c r="N3" s="181"/>
      <c r="O3" s="180"/>
      <c r="S3" s="135"/>
      <c r="T3" s="177">
        <v>42077</v>
      </c>
      <c r="U3" s="172">
        <v>30</v>
      </c>
      <c r="V3" s="173" t="s">
        <v>68</v>
      </c>
      <c r="W3" s="224" t="s">
        <v>51</v>
      </c>
      <c r="AE3" s="125">
        <f>IF($AF$1&gt;=1,1,0)</f>
        <v>1</v>
      </c>
      <c r="AF3" s="125" t="str">
        <f>IF(OR($AE3=0,$AG3=""),"(Niemand)",INDEX(tbl_Spelers[Naam],MATCH(SMALL(tbl_Spelers[Rang],AE3),tbl_Spelers[Rang],0)))</f>
        <v>Keita Alhassane</v>
      </c>
      <c r="AG3" s="135">
        <f>IF($AE3=0,"",IF(AH3=0,"",AH3))</f>
        <v>5</v>
      </c>
      <c r="AH3" s="135">
        <f>INDEX(tbl_Spelers[Goals],MATCH(SMALL(tbl_Spelers[Rang],AE3),tbl_Spelers[Rang],0))</f>
        <v>5</v>
      </c>
      <c r="AJ3" s="161">
        <v>1</v>
      </c>
      <c r="AK3" s="137">
        <v>41906</v>
      </c>
      <c r="AL3" s="138"/>
      <c r="AM3" s="173" t="s">
        <v>118</v>
      </c>
      <c r="AN3" s="192" t="s">
        <v>111</v>
      </c>
      <c r="AR3" s="140">
        <v>0</v>
      </c>
      <c r="AS3" s="125" t="s">
        <v>31</v>
      </c>
      <c r="AU3" s="183"/>
      <c r="AV3" s="184" t="s">
        <v>148</v>
      </c>
      <c r="AW3" s="178"/>
      <c r="AX3" s="177"/>
      <c r="AY3" s="172"/>
      <c r="BE3" s="171">
        <v>41846</v>
      </c>
      <c r="BF3" s="174">
        <v>1</v>
      </c>
      <c r="BG3" s="173" t="s">
        <v>88</v>
      </c>
      <c r="BH3" s="179" t="s">
        <v>53</v>
      </c>
      <c r="BI3" s="168" t="s">
        <v>35</v>
      </c>
      <c r="BJ3" s="168" t="s">
        <v>87</v>
      </c>
    </row>
    <row r="4" spans="1:62" x14ac:dyDescent="0.2">
      <c r="A4" s="177">
        <v>42077</v>
      </c>
      <c r="B4" s="172">
        <v>30</v>
      </c>
      <c r="C4" s="173" t="s">
        <v>142</v>
      </c>
      <c r="D4" s="180" t="str">
        <f t="shared" ref="D4:D10" si="0">IF(G4=0,"",G4)</f>
        <v>2-3</v>
      </c>
      <c r="E4" t="s">
        <v>41</v>
      </c>
      <c r="F4" t="s">
        <v>46</v>
      </c>
      <c r="G4" s="185" t="s">
        <v>105</v>
      </c>
      <c r="H4" s="136"/>
      <c r="I4" s="177"/>
      <c r="J4" s="172"/>
      <c r="K4" s="173"/>
      <c r="L4" s="180" t="e">
        <f>IF(O4=0,"nr. " &amp; MATCH($M4,'rooster en stand'!$D$5:$D$20,0) &amp; " - nr. " &amp; MATCH($N4,'rooster en stand'!$D$5:$D$20,0),O4)</f>
        <v>#N/A</v>
      </c>
      <c r="M4" s="181"/>
      <c r="N4" s="181"/>
      <c r="O4" s="180"/>
      <c r="S4" s="135"/>
      <c r="T4" s="177">
        <v>42070</v>
      </c>
      <c r="U4" s="172">
        <v>29</v>
      </c>
      <c r="V4" s="173" t="s">
        <v>59</v>
      </c>
      <c r="W4" s="193" t="s">
        <v>106</v>
      </c>
      <c r="AE4" s="125">
        <f>IF($AF$1&gt;=2,2,0)</f>
        <v>2</v>
      </c>
      <c r="AF4" s="125" t="str">
        <f>IF(OR($AE4=0,$AG4=""),"",INDEX(tbl_Spelers[Naam],MATCH(SMALL(tbl_Spelers[Rang],AE4),tbl_Spelers[Rang],0)))</f>
        <v>Kasmi Faisel</v>
      </c>
      <c r="AG4" s="135">
        <f>IF($AE4=0,"",IF(AH4=0,"",AH4))</f>
        <v>4</v>
      </c>
      <c r="AH4" s="135">
        <f>INDEX(tbl_Spelers[Goals],MATCH(SMALL(tbl_Spelers[Rang],AE4),tbl_Spelers[Rang],0))</f>
        <v>4</v>
      </c>
      <c r="AJ4" s="161">
        <v>2</v>
      </c>
      <c r="AK4" s="137">
        <v>41976</v>
      </c>
      <c r="AL4" s="138"/>
      <c r="AM4" s="173" t="s">
        <v>63</v>
      </c>
      <c r="AN4" s="192" t="s">
        <v>128</v>
      </c>
      <c r="AR4" s="135">
        <f>COUNTA('rooster en stand'!BO5:BO20)</f>
        <v>16</v>
      </c>
      <c r="AS4" s="125" t="s">
        <v>33</v>
      </c>
      <c r="AU4" s="183"/>
      <c r="AV4" s="184"/>
      <c r="AW4" s="179"/>
      <c r="AX4" s="177"/>
      <c r="AY4" s="172"/>
      <c r="BE4" s="171">
        <v>41854</v>
      </c>
      <c r="BF4" s="174">
        <v>2</v>
      </c>
      <c r="BG4" s="173" t="s">
        <v>75</v>
      </c>
      <c r="BH4" s="178" t="s">
        <v>52</v>
      </c>
      <c r="BI4" s="168" t="s">
        <v>42</v>
      </c>
      <c r="BJ4" s="168" t="s">
        <v>35</v>
      </c>
    </row>
    <row r="5" spans="1:62" x14ac:dyDescent="0.2">
      <c r="A5" s="177">
        <v>42077</v>
      </c>
      <c r="B5" s="172">
        <v>30</v>
      </c>
      <c r="C5" s="173" t="s">
        <v>143</v>
      </c>
      <c r="D5" s="180" t="str">
        <f t="shared" si="0"/>
        <v>2-0</v>
      </c>
      <c r="E5" t="s">
        <v>78</v>
      </c>
      <c r="F5" t="s">
        <v>97</v>
      </c>
      <c r="G5" s="185" t="s">
        <v>53</v>
      </c>
      <c r="H5" s="136"/>
      <c r="I5" s="177"/>
      <c r="J5" s="172"/>
      <c r="K5" s="173"/>
      <c r="L5" s="180" t="e">
        <f>IF(O5=0,"nr. " &amp; MATCH($M5,'rooster en stand'!$D$5:$D$20,0) &amp; " - nr. " &amp; MATCH($N5,'rooster en stand'!$D$5:$D$20,0),O5)</f>
        <v>#N/A</v>
      </c>
      <c r="M5" s="181"/>
      <c r="N5" s="181"/>
      <c r="O5" s="180"/>
      <c r="S5" s="135"/>
      <c r="T5" s="177">
        <v>42063</v>
      </c>
      <c r="U5" s="172">
        <v>28</v>
      </c>
      <c r="V5" s="173" t="s">
        <v>57</v>
      </c>
      <c r="W5" s="193" t="s">
        <v>85</v>
      </c>
      <c r="AE5" s="125">
        <f>IF($AF$1&gt;=3,3,0)</f>
        <v>3</v>
      </c>
      <c r="AF5" s="125" t="str">
        <f>IF(OR($AE5=0,$AG5=""),"",INDEX(tbl_Spelers[Naam],MATCH(SMALL(tbl_Spelers[Rang],AE5),tbl_Spelers[Rang],0)))</f>
        <v>Bourabia Rachid</v>
      </c>
      <c r="AG5" s="135">
        <f>IF($AE5=0,"",IF(AH5=0,"",AH5))</f>
        <v>2</v>
      </c>
      <c r="AH5" s="135">
        <f>INDEX(tbl_Spelers[Goals],MATCH(SMALL(tbl_Spelers[Rang],AE5),tbl_Spelers[Rang],0))</f>
        <v>2</v>
      </c>
      <c r="AJ5" s="161"/>
      <c r="AK5" s="137"/>
      <c r="AL5" s="138"/>
      <c r="AN5" s="139"/>
      <c r="AR5" s="135">
        <f>2*(AR4-1)</f>
        <v>30</v>
      </c>
      <c r="AS5" s="125" t="s">
        <v>34</v>
      </c>
      <c r="AU5" s="183"/>
      <c r="AV5" s="184"/>
      <c r="AW5" s="179"/>
      <c r="AX5" s="177"/>
      <c r="AY5" s="172"/>
      <c r="BE5" s="171">
        <v>41860</v>
      </c>
      <c r="BF5" s="174">
        <v>3</v>
      </c>
      <c r="BG5" s="173" t="s">
        <v>101</v>
      </c>
      <c r="BH5" s="175" t="s">
        <v>107</v>
      </c>
      <c r="BI5" s="168" t="s">
        <v>35</v>
      </c>
      <c r="BJ5" s="168" t="s">
        <v>97</v>
      </c>
    </row>
    <row r="6" spans="1:62" x14ac:dyDescent="0.2">
      <c r="A6" s="177">
        <v>42077</v>
      </c>
      <c r="B6" s="172">
        <v>30</v>
      </c>
      <c r="C6" s="173" t="s">
        <v>68</v>
      </c>
      <c r="D6" s="180" t="str">
        <f t="shared" si="0"/>
        <v>0-0</v>
      </c>
      <c r="E6" t="s">
        <v>35</v>
      </c>
      <c r="F6" t="s">
        <v>45</v>
      </c>
      <c r="G6" s="185" t="s">
        <v>51</v>
      </c>
      <c r="H6" s="136"/>
      <c r="I6" s="177"/>
      <c r="J6" s="172"/>
      <c r="K6" s="173"/>
      <c r="L6" s="180" t="e">
        <f>IF(O6=0,"nr. " &amp; MATCH($M6,'rooster en stand'!$D$5:$D$20,0) &amp; " - nr. " &amp; MATCH($N6,'rooster en stand'!$D$5:$D$20,0),O6)</f>
        <v>#N/A</v>
      </c>
      <c r="M6" s="181"/>
      <c r="N6" s="181"/>
      <c r="O6" s="180"/>
      <c r="S6" s="135"/>
      <c r="T6" s="177">
        <v>42056</v>
      </c>
      <c r="U6" s="172">
        <v>27</v>
      </c>
      <c r="V6" s="173" t="s">
        <v>58</v>
      </c>
      <c r="W6" s="193" t="s">
        <v>106</v>
      </c>
      <c r="AE6" s="125">
        <f>IF($AF$1&gt;=4,4,0)</f>
        <v>4</v>
      </c>
      <c r="AF6" s="125" t="str">
        <f>IF(OR($AE6=0,$AG6=""),"",INDEX(tbl_Spelers[Naam],MATCH(SMALL(tbl_Spelers[Rang],AE6),tbl_Spelers[Rang],0)))</f>
        <v>Kouemaha Dorge</v>
      </c>
      <c r="AG6" s="135">
        <f>IF($AE6=0,"",IF(AH6=0,"",AH6))</f>
        <v>2</v>
      </c>
      <c r="AH6" s="135">
        <f>INDEX(tbl_Spelers[Goals],MATCH(SMALL(tbl_Spelers[Rang],AE6),tbl_Spelers[Rang],0))</f>
        <v>2</v>
      </c>
      <c r="AJ6" s="161"/>
      <c r="AK6" s="137"/>
      <c r="AL6" s="138"/>
      <c r="AM6" s="168"/>
      <c r="AN6" s="139"/>
      <c r="AR6" s="191">
        <f>COUNTA(tbl_Spelers[Naam])</f>
        <v>18</v>
      </c>
      <c r="AS6" s="168" t="s">
        <v>93</v>
      </c>
      <c r="AU6" s="183"/>
      <c r="AV6" s="184"/>
      <c r="AW6" s="179"/>
      <c r="AX6" s="177"/>
      <c r="AY6" s="172"/>
      <c r="BE6" s="171">
        <v>41867</v>
      </c>
      <c r="BF6" s="174">
        <v>4</v>
      </c>
      <c r="BG6" s="173" t="s">
        <v>70</v>
      </c>
      <c r="BH6" s="178" t="s">
        <v>53</v>
      </c>
      <c r="BI6" s="168" t="s">
        <v>47</v>
      </c>
      <c r="BJ6" s="168" t="s">
        <v>35</v>
      </c>
    </row>
    <row r="7" spans="1:62" x14ac:dyDescent="0.2">
      <c r="A7" s="177">
        <v>42077</v>
      </c>
      <c r="B7" s="172">
        <v>30</v>
      </c>
      <c r="C7" s="173" t="s">
        <v>144</v>
      </c>
      <c r="D7" s="180" t="str">
        <f t="shared" si="0"/>
        <v>1-0</v>
      </c>
      <c r="E7" t="s">
        <v>48</v>
      </c>
      <c r="F7" t="s">
        <v>43</v>
      </c>
      <c r="G7" s="185" t="s">
        <v>52</v>
      </c>
      <c r="H7" s="136"/>
      <c r="I7" s="177"/>
      <c r="J7" s="172"/>
      <c r="K7" s="173"/>
      <c r="L7" s="180" t="e">
        <f>IF(O7=0,"nr. " &amp; MATCH($M7,'rooster en stand'!$D$5:$D$20,0) &amp; " - nr. " &amp; MATCH($N7,'rooster en stand'!$D$5:$D$20,0),O7)</f>
        <v>#N/A</v>
      </c>
      <c r="M7" s="181"/>
      <c r="N7" s="181"/>
      <c r="O7" s="180"/>
      <c r="S7" s="135"/>
      <c r="T7" s="177">
        <v>42049</v>
      </c>
      <c r="U7" s="172">
        <v>26</v>
      </c>
      <c r="V7" s="173" t="s">
        <v>71</v>
      </c>
      <c r="W7" s="208" t="s">
        <v>106</v>
      </c>
      <c r="AE7" s="125">
        <f>IF($AF$1&gt;=5,5,0)</f>
        <v>5</v>
      </c>
      <c r="AF7" s="125" t="str">
        <f>IF(OR($AE7=0,$AG7=""),"",INDEX(tbl_Spelers[Naam],MATCH(SMALL(tbl_Spelers[Rang],AE7),tbl_Spelers[Rang],0)))</f>
        <v>Ngawa Pierre-Yves</v>
      </c>
      <c r="AG7" s="135">
        <f>IF($AE7=0,"",IF(AH7=0,"",AH7))</f>
        <v>2</v>
      </c>
      <c r="AH7" s="135">
        <f>INDEX(tbl_Spelers[Goals],MATCH(SMALL(tbl_Spelers[Rang],AE7),tbl_Spelers[Rang],0))</f>
        <v>2</v>
      </c>
      <c r="AJ7" s="161"/>
      <c r="AK7" s="137"/>
      <c r="AL7" s="138"/>
      <c r="AM7" s="168"/>
      <c r="AN7" s="139"/>
      <c r="AU7" s="183"/>
      <c r="AV7" s="184"/>
      <c r="AW7" s="178"/>
      <c r="AX7" s="177"/>
      <c r="AY7" s="172"/>
      <c r="BE7" s="171">
        <v>41874</v>
      </c>
      <c r="BF7" s="174">
        <v>5</v>
      </c>
      <c r="BG7" s="173" t="s">
        <v>82</v>
      </c>
      <c r="BH7" s="178" t="s">
        <v>85</v>
      </c>
      <c r="BI7" s="168" t="s">
        <v>35</v>
      </c>
      <c r="BJ7" s="168" t="s">
        <v>78</v>
      </c>
    </row>
    <row r="8" spans="1:62" x14ac:dyDescent="0.2">
      <c r="A8" s="132">
        <v>42077</v>
      </c>
      <c r="B8" s="133">
        <v>30</v>
      </c>
      <c r="C8" s="134" t="s">
        <v>145</v>
      </c>
      <c r="D8" s="180" t="str">
        <f t="shared" si="0"/>
        <v>0-0</v>
      </c>
      <c r="E8" t="s">
        <v>77</v>
      </c>
      <c r="F8" t="s">
        <v>47</v>
      </c>
      <c r="G8" s="185" t="s">
        <v>51</v>
      </c>
      <c r="H8" s="136"/>
      <c r="I8" s="177"/>
      <c r="J8" s="172"/>
      <c r="K8" s="173"/>
      <c r="L8" s="180" t="e">
        <f>IF(O8=0,"nr. " &amp; MATCH($M8,'rooster en stand'!$D$5:$D$20,0) &amp; " - nr. " &amp; MATCH($N8,'rooster en stand'!$D$5:$D$20,0),O8)</f>
        <v>#N/A</v>
      </c>
      <c r="M8" s="181"/>
      <c r="N8" s="181"/>
      <c r="O8" s="180"/>
      <c r="S8" s="135"/>
      <c r="T8" s="135"/>
      <c r="U8" s="133"/>
      <c r="V8" s="135"/>
      <c r="W8" s="135"/>
      <c r="AJ8" s="161"/>
      <c r="AK8" s="137"/>
      <c r="AL8" s="138"/>
      <c r="AM8" s="168"/>
      <c r="AN8" s="139"/>
      <c r="AU8" s="183"/>
      <c r="AV8" s="184"/>
      <c r="AW8" s="179"/>
      <c r="AX8" s="177"/>
      <c r="AY8" s="172"/>
      <c r="BE8" s="171">
        <v>41881</v>
      </c>
      <c r="BF8" s="174">
        <v>6</v>
      </c>
      <c r="BG8" s="173" t="s">
        <v>81</v>
      </c>
      <c r="BH8" s="178" t="s">
        <v>53</v>
      </c>
      <c r="BI8" s="168" t="s">
        <v>77</v>
      </c>
      <c r="BJ8" s="168" t="s">
        <v>35</v>
      </c>
    </row>
    <row r="9" spans="1:62" x14ac:dyDescent="0.2">
      <c r="A9" s="132">
        <v>42077</v>
      </c>
      <c r="B9" s="133">
        <v>30</v>
      </c>
      <c r="C9" s="134" t="s">
        <v>146</v>
      </c>
      <c r="D9" s="180" t="str">
        <f t="shared" si="0"/>
        <v>1-3</v>
      </c>
      <c r="E9" t="s">
        <v>98</v>
      </c>
      <c r="F9" t="s">
        <v>42</v>
      </c>
      <c r="G9" s="185" t="s">
        <v>116</v>
      </c>
      <c r="H9" s="136"/>
      <c r="I9" s="177"/>
      <c r="J9" s="172"/>
      <c r="K9" s="173"/>
      <c r="L9" s="180" t="e">
        <f>IF(O9=0,"nr. " &amp; MATCH($M9,'rooster en stand'!$D$5:$D$20,0) &amp; " - nr. " &amp; MATCH($N9,'rooster en stand'!$D$5:$D$20,0),O9)</f>
        <v>#N/A</v>
      </c>
      <c r="M9" s="181"/>
      <c r="N9" s="181"/>
      <c r="O9" s="180"/>
      <c r="S9" s="135"/>
      <c r="T9" s="135"/>
      <c r="U9" s="135"/>
      <c r="V9" s="135"/>
      <c r="W9" s="135"/>
      <c r="AJ9" s="134"/>
      <c r="AK9" s="137"/>
      <c r="AL9" s="138"/>
      <c r="AN9" s="139"/>
      <c r="AU9" s="183"/>
      <c r="AV9" s="184"/>
      <c r="AW9" s="175"/>
      <c r="AX9" s="168"/>
      <c r="AY9" s="168"/>
      <c r="BE9" s="171">
        <v>41895</v>
      </c>
      <c r="BF9" s="174">
        <v>7</v>
      </c>
      <c r="BG9" s="173" t="s">
        <v>74</v>
      </c>
      <c r="BH9" s="175" t="s">
        <v>107</v>
      </c>
      <c r="BI9" s="168" t="s">
        <v>35</v>
      </c>
      <c r="BJ9" s="168" t="s">
        <v>40</v>
      </c>
    </row>
    <row r="10" spans="1:62" x14ac:dyDescent="0.2">
      <c r="A10" s="132">
        <v>42077</v>
      </c>
      <c r="B10" s="133">
        <v>30</v>
      </c>
      <c r="C10" s="134" t="s">
        <v>147</v>
      </c>
      <c r="D10" s="180" t="str">
        <f t="shared" si="0"/>
        <v>1-4</v>
      </c>
      <c r="E10" t="s">
        <v>49</v>
      </c>
      <c r="F10" t="s">
        <v>87</v>
      </c>
      <c r="G10" s="185" t="s">
        <v>112</v>
      </c>
      <c r="H10" s="132"/>
      <c r="I10" s="177"/>
      <c r="J10" s="172"/>
      <c r="K10" s="173"/>
      <c r="L10" s="180" t="e">
        <f>IF(O10=0,"nr. " &amp; MATCH($M10,'rooster en stand'!$D$5:$D$20,0) &amp; " - nr. " &amp; MATCH($N10,'rooster en stand'!$D$5:$D$20,0),O10)</f>
        <v>#N/A</v>
      </c>
      <c r="M10" s="181"/>
      <c r="N10" s="181"/>
      <c r="O10" s="180"/>
      <c r="AJ10" s="134"/>
      <c r="AK10" s="137"/>
      <c r="AL10" s="138"/>
      <c r="AN10" s="139"/>
      <c r="AU10" s="183"/>
      <c r="AV10" s="184"/>
      <c r="AW10" s="178"/>
      <c r="AX10" s="168"/>
      <c r="AY10" s="168"/>
      <c r="BE10" s="171">
        <v>41902</v>
      </c>
      <c r="BF10" s="174">
        <v>8</v>
      </c>
      <c r="BG10" s="173" t="s">
        <v>102</v>
      </c>
      <c r="BH10" s="178" t="s">
        <v>115</v>
      </c>
      <c r="BI10" s="168" t="s">
        <v>98</v>
      </c>
      <c r="BJ10" s="168" t="s">
        <v>35</v>
      </c>
    </row>
    <row r="11" spans="1:62" x14ac:dyDescent="0.2">
      <c r="A11" s="132"/>
      <c r="B11" s="133"/>
      <c r="C11" s="134"/>
      <c r="D11" s="135"/>
      <c r="H11" s="132"/>
      <c r="I11" s="132"/>
      <c r="J11" s="133"/>
      <c r="K11" s="134"/>
      <c r="L11" s="135"/>
      <c r="M11" s="135"/>
      <c r="N11" s="126"/>
      <c r="O11" s="126"/>
      <c r="AU11" s="183"/>
      <c r="AV11" s="184"/>
      <c r="AW11" s="178"/>
      <c r="AX11" s="168"/>
      <c r="AY11" s="168"/>
      <c r="BE11" s="171">
        <v>41910</v>
      </c>
      <c r="BF11" s="174">
        <v>9</v>
      </c>
      <c r="BG11" s="173" t="s">
        <v>62</v>
      </c>
      <c r="BH11" s="175" t="s">
        <v>107</v>
      </c>
      <c r="BI11" s="168" t="s">
        <v>48</v>
      </c>
      <c r="BJ11" s="168" t="s">
        <v>35</v>
      </c>
    </row>
    <row r="12" spans="1:62" x14ac:dyDescent="0.2">
      <c r="B12" s="142"/>
      <c r="D12" s="143"/>
      <c r="H12" s="132"/>
      <c r="I12" s="144"/>
      <c r="J12" s="145"/>
      <c r="K12" s="146"/>
      <c r="L12" s="135"/>
      <c r="N12" s="126"/>
      <c r="O12" s="126"/>
      <c r="AU12" s="183"/>
      <c r="AV12" s="184"/>
      <c r="AW12" s="178"/>
      <c r="AX12" s="168"/>
      <c r="AY12" s="168"/>
      <c r="BE12" s="171">
        <v>41916</v>
      </c>
      <c r="BF12" s="174">
        <v>10</v>
      </c>
      <c r="BG12" s="173" t="s">
        <v>73</v>
      </c>
      <c r="BH12" s="179" t="s">
        <v>90</v>
      </c>
      <c r="BI12" s="168" t="s">
        <v>35</v>
      </c>
      <c r="BJ12" s="168" t="s">
        <v>49</v>
      </c>
    </row>
    <row r="13" spans="1:62" x14ac:dyDescent="0.2">
      <c r="B13" s="142"/>
      <c r="D13" s="142"/>
      <c r="H13" s="132"/>
      <c r="K13" s="146"/>
      <c r="L13" s="135"/>
      <c r="M13" s="128"/>
      <c r="N13" s="129"/>
      <c r="O13" s="129"/>
      <c r="S13" s="128"/>
      <c r="T13" s="128"/>
      <c r="U13" s="128"/>
      <c r="V13" s="128"/>
      <c r="W13" s="128"/>
      <c r="AJ13" s="128"/>
      <c r="AK13" s="128"/>
      <c r="AL13" s="128"/>
      <c r="AM13" s="128"/>
      <c r="AN13" s="128"/>
      <c r="AU13" s="183"/>
      <c r="AV13" s="184"/>
      <c r="AW13" s="175"/>
      <c r="AX13" s="168"/>
      <c r="AY13" s="168"/>
      <c r="BE13" s="171">
        <v>41930</v>
      </c>
      <c r="BF13" s="174">
        <v>11</v>
      </c>
      <c r="BG13" s="173" t="s">
        <v>61</v>
      </c>
      <c r="BH13" s="179" t="s">
        <v>108</v>
      </c>
      <c r="BI13" s="168" t="s">
        <v>41</v>
      </c>
      <c r="BJ13" s="168" t="s">
        <v>35</v>
      </c>
    </row>
    <row r="14" spans="1:62" x14ac:dyDescent="0.2">
      <c r="B14" s="142"/>
      <c r="D14" s="142"/>
      <c r="H14" s="141"/>
      <c r="I14" s="141"/>
      <c r="J14" s="141"/>
      <c r="K14" s="141"/>
      <c r="L14" s="141"/>
      <c r="M14" s="141"/>
      <c r="N14" s="141"/>
      <c r="O14" s="141"/>
      <c r="AJ14" s="126"/>
      <c r="AK14" s="126"/>
      <c r="AU14" s="183"/>
      <c r="AV14" s="168"/>
      <c r="AW14" s="202"/>
      <c r="BE14" s="171">
        <v>41936</v>
      </c>
      <c r="BF14" s="174">
        <v>12</v>
      </c>
      <c r="BG14" s="173" t="s">
        <v>66</v>
      </c>
      <c r="BH14" s="178" t="s">
        <v>92</v>
      </c>
      <c r="BI14" s="168" t="s">
        <v>35</v>
      </c>
      <c r="BJ14" s="168" t="s">
        <v>46</v>
      </c>
    </row>
    <row r="15" spans="1:62" x14ac:dyDescent="0.2">
      <c r="B15" s="142"/>
      <c r="D15" s="142"/>
      <c r="H15" s="141"/>
      <c r="I15" s="141"/>
      <c r="J15" s="141"/>
      <c r="K15" s="141"/>
      <c r="L15" s="141"/>
      <c r="M15" s="141"/>
      <c r="N15" s="141"/>
      <c r="O15" s="141"/>
      <c r="AH15" s="135"/>
      <c r="AJ15" s="126"/>
      <c r="AK15" s="126"/>
      <c r="AL15" s="135"/>
      <c r="AM15" s="135"/>
      <c r="AN15" s="135"/>
      <c r="AO15" s="135"/>
      <c r="AU15" s="183"/>
      <c r="AV15" s="168"/>
      <c r="AW15" s="202"/>
      <c r="BE15" s="171">
        <v>41940</v>
      </c>
      <c r="BF15" s="174">
        <v>13</v>
      </c>
      <c r="BG15" s="173" t="s">
        <v>67</v>
      </c>
      <c r="BH15" s="178" t="s">
        <v>86</v>
      </c>
      <c r="BI15" s="168" t="s">
        <v>43</v>
      </c>
      <c r="BJ15" s="168" t="s">
        <v>35</v>
      </c>
    </row>
    <row r="16" spans="1:62" x14ac:dyDescent="0.2">
      <c r="B16" s="142"/>
      <c r="D16" s="142"/>
      <c r="H16" s="141"/>
      <c r="I16" s="141"/>
      <c r="J16" s="141"/>
      <c r="K16" s="141"/>
      <c r="L16" s="141"/>
      <c r="M16" s="141"/>
      <c r="N16" s="141"/>
      <c r="O16" s="141"/>
      <c r="AJ16" s="126"/>
      <c r="AK16" s="126"/>
      <c r="AU16" s="183"/>
      <c r="AV16" s="168"/>
      <c r="AW16" s="180"/>
      <c r="BE16" s="171">
        <v>41945</v>
      </c>
      <c r="BF16" s="174">
        <v>14</v>
      </c>
      <c r="BG16" s="173" t="s">
        <v>69</v>
      </c>
      <c r="BH16" s="178" t="s">
        <v>92</v>
      </c>
      <c r="BI16" s="168" t="s">
        <v>35</v>
      </c>
      <c r="BJ16" s="168" t="s">
        <v>44</v>
      </c>
    </row>
    <row r="17" spans="43:62" x14ac:dyDescent="0.2">
      <c r="AU17" s="183"/>
      <c r="AV17" s="168"/>
      <c r="AW17" s="180"/>
      <c r="BE17" s="171">
        <v>41951</v>
      </c>
      <c r="BF17" s="174">
        <v>15</v>
      </c>
      <c r="BG17" s="173" t="s">
        <v>56</v>
      </c>
      <c r="BH17" s="178" t="s">
        <v>52</v>
      </c>
      <c r="BI17" s="168" t="s">
        <v>45</v>
      </c>
      <c r="BJ17" s="168" t="s">
        <v>35</v>
      </c>
    </row>
    <row r="18" spans="43:62" x14ac:dyDescent="0.2">
      <c r="AU18" s="183"/>
      <c r="AV18" s="168"/>
      <c r="AW18" s="202"/>
      <c r="BE18" s="171">
        <v>41965</v>
      </c>
      <c r="BF18" s="172">
        <v>16</v>
      </c>
      <c r="BG18" s="173" t="s">
        <v>103</v>
      </c>
      <c r="BH18" s="203" t="s">
        <v>106</v>
      </c>
      <c r="BI18" s="168" t="s">
        <v>97</v>
      </c>
      <c r="BJ18" s="168" t="s">
        <v>35</v>
      </c>
    </row>
    <row r="19" spans="43:62" x14ac:dyDescent="0.2">
      <c r="AU19" s="183"/>
      <c r="AW19" s="135"/>
      <c r="BE19" s="171">
        <v>41972</v>
      </c>
      <c r="BF19" s="174">
        <v>17</v>
      </c>
      <c r="BG19" s="173" t="s">
        <v>60</v>
      </c>
      <c r="BH19" s="175" t="s">
        <v>50</v>
      </c>
      <c r="BI19" s="168" t="s">
        <v>35</v>
      </c>
      <c r="BJ19" s="168" t="s">
        <v>47</v>
      </c>
    </row>
    <row r="20" spans="43:62" x14ac:dyDescent="0.2">
      <c r="AU20" s="183"/>
      <c r="AW20" s="135"/>
      <c r="BE20" s="171">
        <v>41979</v>
      </c>
      <c r="BF20" s="174">
        <v>18</v>
      </c>
      <c r="BG20" s="173" t="s">
        <v>89</v>
      </c>
      <c r="BH20" s="178" t="s">
        <v>106</v>
      </c>
      <c r="BI20" s="168" t="s">
        <v>87</v>
      </c>
      <c r="BJ20" s="168" t="s">
        <v>35</v>
      </c>
    </row>
    <row r="21" spans="43:62" x14ac:dyDescent="0.2">
      <c r="AU21" s="183"/>
      <c r="AW21" s="135"/>
      <c r="BE21" s="171">
        <v>41986</v>
      </c>
      <c r="BF21" s="174">
        <v>19</v>
      </c>
      <c r="BG21" s="173" t="s">
        <v>104</v>
      </c>
      <c r="BH21" s="175" t="s">
        <v>129</v>
      </c>
      <c r="BI21" s="168" t="s">
        <v>35</v>
      </c>
      <c r="BJ21" s="168" t="s">
        <v>98</v>
      </c>
    </row>
    <row r="22" spans="43:62" x14ac:dyDescent="0.2">
      <c r="AU22" s="183"/>
      <c r="AW22" s="135"/>
      <c r="BE22" s="171">
        <v>41993</v>
      </c>
      <c r="BF22" s="174">
        <v>20</v>
      </c>
      <c r="BG22" s="173" t="s">
        <v>84</v>
      </c>
      <c r="BH22" s="178" t="s">
        <v>132</v>
      </c>
      <c r="BI22" s="168" t="s">
        <v>78</v>
      </c>
      <c r="BJ22" s="168" t="s">
        <v>35</v>
      </c>
    </row>
    <row r="23" spans="43:62" x14ac:dyDescent="0.2">
      <c r="AQ23" s="135"/>
      <c r="AR23" s="135"/>
      <c r="AS23" s="135"/>
      <c r="AU23" s="183"/>
      <c r="AW23" s="135"/>
      <c r="BE23" s="171">
        <v>41999</v>
      </c>
      <c r="BF23" s="174">
        <v>21</v>
      </c>
      <c r="BG23" s="173" t="s">
        <v>65</v>
      </c>
      <c r="BH23" s="178" t="s">
        <v>133</v>
      </c>
      <c r="BI23" s="168" t="s">
        <v>35</v>
      </c>
      <c r="BJ23" s="168" t="s">
        <v>42</v>
      </c>
    </row>
    <row r="24" spans="43:62" x14ac:dyDescent="0.2">
      <c r="AU24" s="183"/>
      <c r="AW24" s="135"/>
      <c r="BE24" s="171">
        <v>42022</v>
      </c>
      <c r="BF24" s="174">
        <v>22</v>
      </c>
      <c r="BG24" s="173" t="s">
        <v>64</v>
      </c>
      <c r="BH24" s="178" t="s">
        <v>86</v>
      </c>
      <c r="BI24" s="168" t="s">
        <v>40</v>
      </c>
      <c r="BJ24" s="168" t="s">
        <v>35</v>
      </c>
    </row>
    <row r="25" spans="43:62" x14ac:dyDescent="0.2">
      <c r="AU25" s="183"/>
      <c r="AW25" s="135"/>
      <c r="BE25" s="171">
        <v>42028</v>
      </c>
      <c r="BF25" s="174">
        <v>23</v>
      </c>
      <c r="BG25" s="173" t="s">
        <v>83</v>
      </c>
      <c r="BH25" s="175" t="s">
        <v>50</v>
      </c>
      <c r="BI25" s="168" t="s">
        <v>35</v>
      </c>
      <c r="BJ25" s="168" t="s">
        <v>77</v>
      </c>
    </row>
    <row r="26" spans="43:62" x14ac:dyDescent="0.2">
      <c r="AU26" s="183"/>
      <c r="AW26" s="135"/>
      <c r="BE26" s="171">
        <v>42035</v>
      </c>
      <c r="BF26" s="174">
        <v>24</v>
      </c>
      <c r="BG26" s="173" t="s">
        <v>72</v>
      </c>
      <c r="BH26" s="178" t="s">
        <v>105</v>
      </c>
      <c r="BI26" s="168" t="s">
        <v>35</v>
      </c>
      <c r="BJ26" s="168" t="s">
        <v>48</v>
      </c>
    </row>
    <row r="27" spans="43:62" x14ac:dyDescent="0.2">
      <c r="AU27" s="183"/>
      <c r="AW27" s="135"/>
      <c r="BE27" s="171">
        <v>42042</v>
      </c>
      <c r="BF27" s="174">
        <v>25</v>
      </c>
      <c r="BG27" s="173" t="s">
        <v>63</v>
      </c>
      <c r="BH27" s="179" t="s">
        <v>105</v>
      </c>
      <c r="BI27" s="168" t="s">
        <v>49</v>
      </c>
      <c r="BJ27" s="168" t="s">
        <v>35</v>
      </c>
    </row>
    <row r="28" spans="43:62" x14ac:dyDescent="0.2">
      <c r="AU28" s="183"/>
      <c r="AW28" s="135"/>
      <c r="BE28" s="171">
        <v>42049</v>
      </c>
      <c r="BF28" s="174">
        <v>26</v>
      </c>
      <c r="BG28" s="173" t="s">
        <v>71</v>
      </c>
      <c r="BH28" s="179" t="s">
        <v>106</v>
      </c>
      <c r="BI28" s="168" t="s">
        <v>35</v>
      </c>
      <c r="BJ28" s="168" t="s">
        <v>41</v>
      </c>
    </row>
    <row r="29" spans="43:62" x14ac:dyDescent="0.2">
      <c r="AU29" s="183"/>
      <c r="AW29" s="135"/>
      <c r="BE29" s="171">
        <v>42056</v>
      </c>
      <c r="BF29" s="174">
        <v>27</v>
      </c>
      <c r="BG29" s="173" t="s">
        <v>58</v>
      </c>
      <c r="BH29" s="178" t="s">
        <v>106</v>
      </c>
      <c r="BI29" s="168" t="s">
        <v>46</v>
      </c>
      <c r="BJ29" s="168" t="s">
        <v>35</v>
      </c>
    </row>
    <row r="30" spans="43:62" x14ac:dyDescent="0.2">
      <c r="AU30" s="183"/>
      <c r="AW30" s="135"/>
      <c r="BE30" s="171">
        <v>42063</v>
      </c>
      <c r="BF30" s="174">
        <v>28</v>
      </c>
      <c r="BG30" s="173" t="s">
        <v>57</v>
      </c>
      <c r="BH30" s="178" t="s">
        <v>85</v>
      </c>
      <c r="BI30" s="168" t="s">
        <v>35</v>
      </c>
      <c r="BJ30" s="168" t="s">
        <v>43</v>
      </c>
    </row>
    <row r="31" spans="43:62" x14ac:dyDescent="0.2">
      <c r="AW31" s="135"/>
      <c r="BE31" s="171">
        <v>42070</v>
      </c>
      <c r="BF31" s="174">
        <v>29</v>
      </c>
      <c r="BG31" s="173" t="s">
        <v>59</v>
      </c>
      <c r="BH31" s="178" t="s">
        <v>106</v>
      </c>
      <c r="BI31" s="168" t="s">
        <v>44</v>
      </c>
      <c r="BJ31" s="168" t="s">
        <v>35</v>
      </c>
    </row>
    <row r="32" spans="43:62" x14ac:dyDescent="0.2">
      <c r="AW32" s="135"/>
      <c r="BE32" s="171">
        <v>42077</v>
      </c>
      <c r="BF32" s="174">
        <v>30</v>
      </c>
      <c r="BG32" s="173" t="s">
        <v>68</v>
      </c>
      <c r="BH32" s="175" t="s">
        <v>51</v>
      </c>
      <c r="BI32" s="168" t="s">
        <v>35</v>
      </c>
      <c r="BJ32" s="168" t="s">
        <v>45</v>
      </c>
    </row>
    <row r="33" spans="49:62" x14ac:dyDescent="0.2">
      <c r="AW33" s="135"/>
      <c r="BE33" s="168"/>
      <c r="BF33" s="168"/>
      <c r="BG33" s="168"/>
      <c r="BH33" s="168"/>
      <c r="BI33" s="168"/>
      <c r="BJ33" s="168"/>
    </row>
    <row r="34" spans="49:62" x14ac:dyDescent="0.2">
      <c r="AW34" s="135"/>
      <c r="BE34" s="168"/>
      <c r="BF34" s="168"/>
      <c r="BG34" s="168"/>
      <c r="BH34" s="168"/>
      <c r="BI34" s="168"/>
      <c r="BJ34" s="168"/>
    </row>
    <row r="35" spans="49:62" x14ac:dyDescent="0.2">
      <c r="BE35" s="168"/>
      <c r="BF35" s="168"/>
      <c r="BG35" s="168"/>
      <c r="BH35" s="168"/>
      <c r="BI35" s="168"/>
      <c r="BJ35" s="168"/>
    </row>
    <row r="36" spans="49:62" x14ac:dyDescent="0.2">
      <c r="BE36" s="168"/>
      <c r="BF36" s="168"/>
      <c r="BG36" s="168"/>
      <c r="BH36" s="168"/>
      <c r="BI36" s="168"/>
      <c r="BJ36" s="168"/>
    </row>
    <row r="37" spans="49:62" x14ac:dyDescent="0.2">
      <c r="BE37" s="168"/>
      <c r="BF37" s="168"/>
      <c r="BG37" s="168"/>
      <c r="BH37" s="168"/>
      <c r="BI37" s="168"/>
      <c r="BJ37" s="168"/>
    </row>
    <row r="38" spans="49:62" x14ac:dyDescent="0.2">
      <c r="BE38" s="168"/>
      <c r="BF38" s="168"/>
      <c r="BG38" s="168"/>
      <c r="BH38" s="168"/>
      <c r="BI38" s="168"/>
      <c r="BJ38" s="168"/>
    </row>
    <row r="39" spans="49:62" x14ac:dyDescent="0.2">
      <c r="BE39" s="168"/>
      <c r="BF39" s="168"/>
      <c r="BG39" s="168"/>
      <c r="BH39" s="168"/>
      <c r="BI39" s="168"/>
      <c r="BJ39" s="168"/>
    </row>
    <row r="40" spans="49:62" x14ac:dyDescent="0.2">
      <c r="BE40" s="168"/>
      <c r="BF40" s="168"/>
      <c r="BG40" s="168"/>
      <c r="BH40" s="168"/>
      <c r="BI40" s="168"/>
      <c r="BJ40" s="168"/>
    </row>
    <row r="41" spans="49:62" x14ac:dyDescent="0.2">
      <c r="BE41" s="168"/>
      <c r="BF41" s="168"/>
      <c r="BG41" s="168"/>
      <c r="BH41" s="168"/>
      <c r="BI41" s="168"/>
      <c r="BJ41" s="168"/>
    </row>
    <row r="42" spans="49:62" x14ac:dyDescent="0.2">
      <c r="BE42" s="168"/>
      <c r="BF42" s="168"/>
      <c r="BG42" s="168"/>
      <c r="BH42" s="168"/>
      <c r="BI42" s="168"/>
      <c r="BJ42" s="168"/>
    </row>
    <row r="43" spans="49:62" x14ac:dyDescent="0.2">
      <c r="BE43" s="168"/>
      <c r="BF43" s="168"/>
      <c r="BG43" s="168"/>
      <c r="BH43" s="168"/>
      <c r="BI43" s="168"/>
      <c r="BJ43" s="168"/>
    </row>
    <row r="44" spans="49:62" x14ac:dyDescent="0.2">
      <c r="BE44" s="168"/>
      <c r="BF44" s="168"/>
      <c r="BG44" s="168"/>
      <c r="BH44" s="168"/>
      <c r="BI44" s="168"/>
      <c r="BJ44" s="168"/>
    </row>
    <row r="45" spans="49:62" x14ac:dyDescent="0.2">
      <c r="BE45" s="168"/>
      <c r="BF45" s="168"/>
      <c r="BG45" s="168"/>
      <c r="BH45" s="168"/>
      <c r="BI45" s="168"/>
      <c r="BJ45" s="168"/>
    </row>
    <row r="46" spans="49:62" x14ac:dyDescent="0.2">
      <c r="BE46" s="168"/>
      <c r="BF46" s="168"/>
      <c r="BG46" s="168"/>
      <c r="BH46" s="168"/>
      <c r="BI46" s="168"/>
      <c r="BJ46" s="168"/>
    </row>
    <row r="47" spans="49:62" x14ac:dyDescent="0.2">
      <c r="BE47" s="168"/>
      <c r="BF47" s="168"/>
      <c r="BG47" s="168"/>
      <c r="BH47" s="168"/>
      <c r="BI47" s="168"/>
      <c r="BJ47" s="168"/>
    </row>
    <row r="48" spans="49:62" x14ac:dyDescent="0.2">
      <c r="BE48" s="168"/>
      <c r="BF48" s="168"/>
      <c r="BG48" s="168"/>
      <c r="BH48" s="168"/>
      <c r="BI48" s="168"/>
      <c r="BJ48" s="168"/>
    </row>
    <row r="49" spans="57:62" x14ac:dyDescent="0.2">
      <c r="BE49" s="168"/>
      <c r="BF49" s="168"/>
      <c r="BG49" s="168"/>
      <c r="BH49" s="168"/>
      <c r="BI49" s="168"/>
      <c r="BJ49" s="168"/>
    </row>
    <row r="50" spans="57:62" x14ac:dyDescent="0.2">
      <c r="BE50" s="168"/>
      <c r="BF50" s="168"/>
      <c r="BG50" s="168"/>
      <c r="BH50" s="168"/>
      <c r="BI50" s="168"/>
      <c r="BJ50" s="168"/>
    </row>
    <row r="51" spans="57:62" x14ac:dyDescent="0.2">
      <c r="BE51" s="168"/>
      <c r="BF51" s="168"/>
      <c r="BG51" s="168"/>
      <c r="BH51" s="168"/>
      <c r="BI51" s="168"/>
      <c r="BJ51" s="168"/>
    </row>
    <row r="52" spans="57:62" x14ac:dyDescent="0.2">
      <c r="BE52" s="168"/>
      <c r="BF52" s="168"/>
      <c r="BG52" s="168"/>
      <c r="BH52" s="168"/>
      <c r="BI52" s="168"/>
      <c r="BJ52" s="168"/>
    </row>
    <row r="53" spans="57:62" x14ac:dyDescent="0.2">
      <c r="BE53" s="168"/>
      <c r="BF53" s="168"/>
      <c r="BG53" s="168"/>
      <c r="BH53" s="168"/>
      <c r="BI53" s="168"/>
      <c r="BJ53" s="168"/>
    </row>
    <row r="54" spans="57:62" x14ac:dyDescent="0.2">
      <c r="BE54" s="168"/>
      <c r="BF54" s="168"/>
      <c r="BG54" s="168"/>
      <c r="BH54" s="168"/>
      <c r="BI54" s="168"/>
      <c r="BJ54" s="168"/>
    </row>
    <row r="55" spans="57:62" x14ac:dyDescent="0.2">
      <c r="BE55" s="168"/>
      <c r="BF55" s="168"/>
      <c r="BG55" s="168"/>
      <c r="BH55" s="168"/>
      <c r="BI55" s="168"/>
      <c r="BJ55" s="168"/>
    </row>
    <row r="56" spans="57:62" x14ac:dyDescent="0.2">
      <c r="BE56" s="168"/>
      <c r="BF56" s="168"/>
      <c r="BG56" s="168"/>
      <c r="BH56" s="168"/>
      <c r="BI56" s="168"/>
      <c r="BJ56" s="168"/>
    </row>
    <row r="57" spans="57:62" x14ac:dyDescent="0.2">
      <c r="BE57" s="168"/>
      <c r="BF57" s="168"/>
      <c r="BG57" s="168"/>
      <c r="BH57" s="168"/>
      <c r="BI57" s="168"/>
      <c r="BJ57" s="168"/>
    </row>
    <row r="58" spans="57:62" x14ac:dyDescent="0.2">
      <c r="BE58" s="168"/>
      <c r="BF58" s="168"/>
      <c r="BG58" s="168"/>
      <c r="BH58" s="168"/>
      <c r="BI58" s="168"/>
      <c r="BJ58" s="168"/>
    </row>
    <row r="59" spans="57:62" x14ac:dyDescent="0.2">
      <c r="BE59" s="168"/>
      <c r="BF59" s="168"/>
      <c r="BG59" s="168"/>
      <c r="BH59" s="168"/>
      <c r="BI59" s="168"/>
      <c r="BJ59" s="168"/>
    </row>
    <row r="60" spans="57:62" x14ac:dyDescent="0.2">
      <c r="BE60" s="168"/>
      <c r="BF60" s="168"/>
      <c r="BG60" s="168"/>
      <c r="BH60" s="168"/>
      <c r="BI60" s="168"/>
      <c r="BJ60" s="168"/>
    </row>
    <row r="61" spans="57:62" x14ac:dyDescent="0.2">
      <c r="BE61" s="168"/>
      <c r="BF61" s="168"/>
      <c r="BG61" s="168"/>
      <c r="BH61" s="168"/>
      <c r="BI61" s="168"/>
      <c r="BJ61" s="168"/>
    </row>
    <row r="62" spans="57:62" x14ac:dyDescent="0.2">
      <c r="BE62" s="168"/>
      <c r="BF62" s="168"/>
      <c r="BG62" s="168"/>
      <c r="BH62" s="168"/>
      <c r="BI62" s="168"/>
      <c r="BJ62" s="168"/>
    </row>
    <row r="63" spans="57:62" x14ac:dyDescent="0.2">
      <c r="BE63" s="168"/>
      <c r="BF63" s="168"/>
      <c r="BG63" s="168"/>
      <c r="BH63" s="168"/>
      <c r="BI63" s="168"/>
      <c r="BJ63" s="168"/>
    </row>
    <row r="64" spans="57:62" x14ac:dyDescent="0.2">
      <c r="BE64" s="168"/>
      <c r="BF64" s="168"/>
      <c r="BG64" s="168"/>
      <c r="BH64" s="168"/>
      <c r="BI64" s="168"/>
      <c r="BJ64" s="168"/>
    </row>
    <row r="65" spans="57:62" x14ac:dyDescent="0.2">
      <c r="BE65" s="168"/>
      <c r="BF65" s="168"/>
      <c r="BG65" s="168"/>
      <c r="BH65" s="168"/>
      <c r="BI65" s="168"/>
      <c r="BJ65" s="168"/>
    </row>
    <row r="66" spans="57:62" x14ac:dyDescent="0.2">
      <c r="BE66" s="168"/>
      <c r="BF66" s="168"/>
      <c r="BG66" s="168"/>
      <c r="BH66" s="168"/>
      <c r="BI66" s="168"/>
      <c r="BJ66" s="168"/>
    </row>
    <row r="67" spans="57:62" x14ac:dyDescent="0.2">
      <c r="BE67" s="168"/>
      <c r="BF67" s="168"/>
      <c r="BG67" s="168"/>
      <c r="BH67" s="168"/>
      <c r="BI67" s="168"/>
      <c r="BJ67" s="168"/>
    </row>
    <row r="68" spans="57:62" x14ac:dyDescent="0.2">
      <c r="BE68" s="168"/>
      <c r="BF68" s="168"/>
      <c r="BG68" s="168"/>
      <c r="BH68" s="168"/>
      <c r="BI68" s="168"/>
      <c r="BJ68" s="168"/>
    </row>
    <row r="69" spans="57:62" x14ac:dyDescent="0.2">
      <c r="BE69" s="168"/>
      <c r="BF69" s="168"/>
      <c r="BG69" s="168"/>
      <c r="BH69" s="168"/>
      <c r="BI69" s="168"/>
      <c r="BJ69" s="168"/>
    </row>
    <row r="70" spans="57:62" x14ac:dyDescent="0.2">
      <c r="BE70" s="168"/>
      <c r="BF70" s="168"/>
      <c r="BG70" s="168"/>
      <c r="BH70" s="168"/>
      <c r="BI70" s="168"/>
      <c r="BJ70" s="168"/>
    </row>
    <row r="71" spans="57:62" x14ac:dyDescent="0.2">
      <c r="BE71" s="168"/>
      <c r="BF71" s="168"/>
      <c r="BG71" s="168"/>
      <c r="BH71" s="168"/>
      <c r="BI71" s="168"/>
      <c r="BJ71" s="168"/>
    </row>
    <row r="72" spans="57:62" x14ac:dyDescent="0.2">
      <c r="BE72" s="168"/>
      <c r="BF72" s="168"/>
      <c r="BG72" s="168"/>
      <c r="BH72" s="168"/>
      <c r="BI72" s="168"/>
      <c r="BJ72" s="168"/>
    </row>
    <row r="73" spans="57:62" x14ac:dyDescent="0.2">
      <c r="BE73" s="168"/>
      <c r="BF73" s="168"/>
      <c r="BG73" s="168"/>
      <c r="BH73" s="168"/>
      <c r="BI73" s="168"/>
      <c r="BJ73" s="168"/>
    </row>
    <row r="74" spans="57:62" x14ac:dyDescent="0.2">
      <c r="BE74" s="168"/>
      <c r="BF74" s="168"/>
      <c r="BG74" s="168"/>
      <c r="BH74" s="168"/>
      <c r="BI74" s="168"/>
      <c r="BJ74" s="168"/>
    </row>
    <row r="75" spans="57:62" x14ac:dyDescent="0.2">
      <c r="BE75" s="168"/>
      <c r="BF75" s="168"/>
      <c r="BG75" s="168"/>
      <c r="BH75" s="168"/>
      <c r="BI75" s="168"/>
      <c r="BJ75" s="168"/>
    </row>
    <row r="76" spans="57:62" x14ac:dyDescent="0.2">
      <c r="BE76" s="168"/>
      <c r="BF76" s="168"/>
      <c r="BG76" s="168"/>
      <c r="BH76" s="168"/>
      <c r="BI76" s="168"/>
      <c r="BJ76" s="168"/>
    </row>
    <row r="77" spans="57:62" x14ac:dyDescent="0.2">
      <c r="BE77" s="168"/>
      <c r="BF77" s="168"/>
      <c r="BG77" s="168"/>
      <c r="BH77" s="168"/>
      <c r="BI77" s="168"/>
      <c r="BJ77" s="168"/>
    </row>
    <row r="78" spans="57:62" x14ac:dyDescent="0.2">
      <c r="BE78" s="168"/>
      <c r="BF78" s="168"/>
      <c r="BG78" s="168"/>
      <c r="BH78" s="168"/>
      <c r="BI78" s="168"/>
      <c r="BJ78" s="168"/>
    </row>
    <row r="79" spans="57:62" x14ac:dyDescent="0.2">
      <c r="BE79" s="168"/>
      <c r="BF79" s="168"/>
      <c r="BG79" s="168"/>
      <c r="BH79" s="168"/>
      <c r="BI79" s="168"/>
      <c r="BJ79" s="168"/>
    </row>
    <row r="80" spans="57:62" x14ac:dyDescent="0.2">
      <c r="BE80" s="168"/>
      <c r="BF80" s="168"/>
      <c r="BG80" s="168"/>
      <c r="BH80" s="168"/>
      <c r="BI80" s="168"/>
      <c r="BJ80" s="168"/>
    </row>
    <row r="81" spans="57:62" x14ac:dyDescent="0.2">
      <c r="BE81" s="168"/>
      <c r="BF81" s="168"/>
      <c r="BG81" s="168"/>
      <c r="BH81" s="168"/>
      <c r="BI81" s="168"/>
      <c r="BJ81" s="168"/>
    </row>
    <row r="82" spans="57:62" x14ac:dyDescent="0.2">
      <c r="BE82" s="168"/>
      <c r="BF82" s="168"/>
      <c r="BG82" s="168"/>
      <c r="BH82" s="168"/>
      <c r="BI82" s="168"/>
      <c r="BJ82" s="168"/>
    </row>
    <row r="83" spans="57:62" x14ac:dyDescent="0.2">
      <c r="BE83" s="168"/>
      <c r="BF83" s="168"/>
      <c r="BG83" s="168"/>
      <c r="BH83" s="168"/>
      <c r="BI83" s="168"/>
      <c r="BJ83" s="168"/>
    </row>
    <row r="84" spans="57:62" x14ac:dyDescent="0.2">
      <c r="BE84" s="168"/>
      <c r="BF84" s="168"/>
      <c r="BG84" s="168"/>
      <c r="BH84" s="168"/>
      <c r="BI84" s="168"/>
      <c r="BJ84" s="168"/>
    </row>
    <row r="85" spans="57:62" x14ac:dyDescent="0.2">
      <c r="BE85" s="168"/>
      <c r="BF85" s="168"/>
      <c r="BG85" s="168"/>
      <c r="BH85" s="168"/>
      <c r="BI85" s="168"/>
      <c r="BJ85" s="168"/>
    </row>
    <row r="86" spans="57:62" x14ac:dyDescent="0.2">
      <c r="BE86" s="168"/>
      <c r="BF86" s="168"/>
      <c r="BG86" s="168"/>
      <c r="BH86" s="168"/>
      <c r="BI86" s="168"/>
      <c r="BJ86" s="168"/>
    </row>
    <row r="87" spans="57:62" x14ac:dyDescent="0.2">
      <c r="BE87" s="168"/>
      <c r="BF87" s="168"/>
      <c r="BG87" s="168"/>
      <c r="BH87" s="168"/>
      <c r="BI87" s="168"/>
      <c r="BJ87" s="168"/>
    </row>
    <row r="88" spans="57:62" x14ac:dyDescent="0.2">
      <c r="BE88" s="168"/>
      <c r="BF88" s="168"/>
      <c r="BG88" s="168"/>
      <c r="BH88" s="168"/>
      <c r="BI88" s="168"/>
      <c r="BJ88" s="168"/>
    </row>
    <row r="89" spans="57:62" x14ac:dyDescent="0.2">
      <c r="BE89" s="168"/>
      <c r="BF89" s="168"/>
      <c r="BG89" s="168"/>
      <c r="BH89" s="168"/>
      <c r="BI89" s="168"/>
      <c r="BJ89" s="168"/>
    </row>
    <row r="90" spans="57:62" x14ac:dyDescent="0.2">
      <c r="BE90" s="168"/>
      <c r="BF90" s="168"/>
      <c r="BG90" s="168"/>
      <c r="BH90" s="168"/>
      <c r="BI90" s="168"/>
      <c r="BJ90" s="168"/>
    </row>
    <row r="91" spans="57:62" x14ac:dyDescent="0.2">
      <c r="BE91" s="168"/>
      <c r="BF91" s="168"/>
      <c r="BG91" s="168"/>
      <c r="BH91" s="168"/>
      <c r="BI91" s="168"/>
      <c r="BJ91" s="168"/>
    </row>
    <row r="92" spans="57:62" x14ac:dyDescent="0.2">
      <c r="BE92" s="168"/>
      <c r="BF92" s="168"/>
      <c r="BG92" s="168"/>
      <c r="BH92" s="168"/>
      <c r="BI92" s="168"/>
      <c r="BJ92" s="168"/>
    </row>
    <row r="93" spans="57:62" x14ac:dyDescent="0.2">
      <c r="BE93" s="168"/>
      <c r="BF93" s="168"/>
      <c r="BG93" s="168"/>
      <c r="BH93" s="168"/>
      <c r="BI93" s="168"/>
      <c r="BJ93" s="168"/>
    </row>
    <row r="94" spans="57:62" x14ac:dyDescent="0.2">
      <c r="BE94" s="168"/>
      <c r="BF94" s="168"/>
      <c r="BG94" s="168"/>
      <c r="BH94" s="168"/>
      <c r="BI94" s="168"/>
      <c r="BJ94" s="168"/>
    </row>
    <row r="95" spans="57:62" x14ac:dyDescent="0.2">
      <c r="BE95" s="168"/>
      <c r="BF95" s="168"/>
      <c r="BG95" s="168"/>
      <c r="BH95" s="168"/>
      <c r="BI95" s="168"/>
      <c r="BJ95" s="168"/>
    </row>
    <row r="96" spans="57:62" x14ac:dyDescent="0.2">
      <c r="BE96" s="168"/>
      <c r="BF96" s="168"/>
      <c r="BG96" s="168"/>
      <c r="BH96" s="168"/>
      <c r="BI96" s="168"/>
      <c r="BJ96" s="168"/>
    </row>
    <row r="97" spans="57:62" x14ac:dyDescent="0.2">
      <c r="BE97" s="168"/>
      <c r="BF97" s="168"/>
      <c r="BG97" s="168"/>
      <c r="BH97" s="168"/>
      <c r="BI97" s="168"/>
      <c r="BJ97" s="168"/>
    </row>
    <row r="98" spans="57:62" x14ac:dyDescent="0.2">
      <c r="BE98" s="168"/>
      <c r="BF98" s="168"/>
      <c r="BG98" s="168"/>
      <c r="BH98" s="168"/>
      <c r="BI98" s="168"/>
      <c r="BJ98" s="168"/>
    </row>
    <row r="99" spans="57:62" x14ac:dyDescent="0.2">
      <c r="BE99" s="168"/>
      <c r="BF99" s="168"/>
      <c r="BG99" s="168"/>
      <c r="BH99" s="168"/>
      <c r="BI99" s="168"/>
      <c r="BJ99" s="168"/>
    </row>
    <row r="100" spans="57:62" x14ac:dyDescent="0.2">
      <c r="BE100" s="168"/>
      <c r="BF100" s="168"/>
      <c r="BG100" s="168"/>
      <c r="BH100" s="168"/>
      <c r="BI100" s="168"/>
      <c r="BJ100" s="168"/>
    </row>
    <row r="101" spans="57:62" x14ac:dyDescent="0.2">
      <c r="BE101" s="168"/>
      <c r="BF101" s="168"/>
      <c r="BG101" s="168"/>
      <c r="BH101" s="168"/>
      <c r="BI101" s="168"/>
      <c r="BJ101" s="168"/>
    </row>
    <row r="102" spans="57:62" x14ac:dyDescent="0.2">
      <c r="BE102" s="168"/>
      <c r="BF102" s="168"/>
      <c r="BG102" s="168"/>
      <c r="BH102" s="168"/>
      <c r="BI102" s="168"/>
      <c r="BJ102" s="168"/>
    </row>
  </sheetData>
  <sortState caseSensitive="1" ref="I3:R12">
    <sortCondition ref="I3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K33"/>
  <sheetViews>
    <sheetView showGridLines="0" showRowColHeaders="0" workbookViewId="0"/>
  </sheetViews>
  <sheetFormatPr defaultRowHeight="15" x14ac:dyDescent="0.3"/>
  <cols>
    <col min="1" max="1" width="14" style="6" bestFit="1" customWidth="1"/>
    <col min="2" max="2" width="4.85546875" style="6" bestFit="1" customWidth="1"/>
    <col min="3" max="3" width="12.140625" style="6" bestFit="1" customWidth="1"/>
    <col min="4" max="4" width="19.5703125" style="6" customWidth="1"/>
    <col min="5" max="5" width="1.7109375" style="6" bestFit="1" customWidth="1"/>
    <col min="6" max="6" width="19.5703125" style="6" customWidth="1"/>
    <col min="7" max="7" width="4" style="6" bestFit="1" customWidth="1"/>
    <col min="8" max="16384" width="9.140625" style="6"/>
  </cols>
  <sheetData>
    <row r="1" spans="1:11" ht="74.25" customHeight="1" x14ac:dyDescent="0.3"/>
    <row r="2" spans="1:11" x14ac:dyDescent="0.3">
      <c r="A2"/>
      <c r="B2" s="29" t="s">
        <v>10</v>
      </c>
      <c r="C2" s="30" t="s">
        <v>11</v>
      </c>
      <c r="D2" s="72" t="s">
        <v>21</v>
      </c>
      <c r="F2" s="72" t="s">
        <v>22</v>
      </c>
    </row>
    <row r="3" spans="1:11" ht="16.5" x14ac:dyDescent="0.35">
      <c r="A3" s="31" t="s">
        <v>12</v>
      </c>
      <c r="B3" s="32">
        <f>'export html'!BF3</f>
        <v>1</v>
      </c>
      <c r="C3" s="38">
        <f>'export html'!BE3</f>
        <v>41846</v>
      </c>
      <c r="D3" s="37" t="str">
        <f>'export html'!BI3</f>
        <v>Lierse</v>
      </c>
      <c r="E3" s="33" t="s">
        <v>7</v>
      </c>
      <c r="F3" s="37" t="str">
        <f>'export html'!BJ3</f>
        <v>Oostende</v>
      </c>
      <c r="G3" s="13" t="str">
        <f>IF(LEN('export html'!BH3),'export html'!BH3,"")</f>
        <v>2-0</v>
      </c>
      <c r="K3" s="38"/>
    </row>
    <row r="4" spans="1:11" x14ac:dyDescent="0.3">
      <c r="A4"/>
      <c r="B4" s="32">
        <f>'export html'!BF4</f>
        <v>2</v>
      </c>
      <c r="C4" s="38">
        <f>'export html'!BE4</f>
        <v>41854</v>
      </c>
      <c r="D4" s="37" t="str">
        <f>'export html'!BI4</f>
        <v>Club Brugge</v>
      </c>
      <c r="E4" s="33" t="s">
        <v>7</v>
      </c>
      <c r="F4" s="37" t="str">
        <f>'export html'!BJ4</f>
        <v>Lierse</v>
      </c>
      <c r="G4" s="13" t="str">
        <f>IF(LEN('export html'!BH4),'export html'!BH4,"")</f>
        <v>1-0</v>
      </c>
      <c r="K4" s="38"/>
    </row>
    <row r="5" spans="1:11" x14ac:dyDescent="0.3">
      <c r="A5"/>
      <c r="B5" s="32">
        <f>'export html'!BF5</f>
        <v>3</v>
      </c>
      <c r="C5" s="38">
        <f>'export html'!BE5</f>
        <v>41860</v>
      </c>
      <c r="D5" s="37" t="str">
        <f>'export html'!BI5</f>
        <v>Lierse</v>
      </c>
      <c r="E5" s="33" t="s">
        <v>7</v>
      </c>
      <c r="F5" s="37" t="str">
        <f>'export html'!BJ5</f>
        <v>Moeskroen-Peruwelz</v>
      </c>
      <c r="G5" s="13" t="str">
        <f>IF(LEN('export html'!BH5),'export html'!BH5,"")</f>
        <v>2-2</v>
      </c>
      <c r="K5" s="38"/>
    </row>
    <row r="6" spans="1:11" x14ac:dyDescent="0.3">
      <c r="A6"/>
      <c r="B6" s="32">
        <f>'export html'!BF6</f>
        <v>4</v>
      </c>
      <c r="C6" s="38">
        <f>'export html'!BE6</f>
        <v>41867</v>
      </c>
      <c r="D6" s="37" t="str">
        <f>'export html'!BI6</f>
        <v>Lokeren</v>
      </c>
      <c r="E6" s="33" t="s">
        <v>7</v>
      </c>
      <c r="F6" s="37" t="str">
        <f>'export html'!BJ6</f>
        <v>Lierse</v>
      </c>
      <c r="G6" s="13" t="str">
        <f>IF(LEN('export html'!BH6),'export html'!BH6,"")</f>
        <v>2-0</v>
      </c>
      <c r="K6" s="38"/>
    </row>
    <row r="7" spans="1:11" x14ac:dyDescent="0.3">
      <c r="A7"/>
      <c r="B7" s="32">
        <f>'export html'!BF7</f>
        <v>5</v>
      </c>
      <c r="C7" s="38">
        <f>'export html'!BE7</f>
        <v>41874</v>
      </c>
      <c r="D7" s="37" t="str">
        <f>'export html'!BI7</f>
        <v>Lierse</v>
      </c>
      <c r="E7" s="33" t="s">
        <v>7</v>
      </c>
      <c r="F7" s="37" t="str">
        <f>'export html'!BJ7</f>
        <v>Charleroi</v>
      </c>
      <c r="G7" s="13" t="str">
        <f>IF(LEN('export html'!BH7),'export html'!BH7,"")</f>
        <v>0-2</v>
      </c>
      <c r="K7" s="38"/>
    </row>
    <row r="8" spans="1:11" x14ac:dyDescent="0.3">
      <c r="A8"/>
      <c r="B8" s="32">
        <f>'export html'!BF8</f>
        <v>6</v>
      </c>
      <c r="C8" s="38">
        <f>'export html'!BE8</f>
        <v>41881</v>
      </c>
      <c r="D8" s="37" t="str">
        <f>'export html'!BI8</f>
        <v>Waasland-Beveren</v>
      </c>
      <c r="E8" s="33" t="s">
        <v>7</v>
      </c>
      <c r="F8" s="37" t="str">
        <f>'export html'!BJ8</f>
        <v>Lierse</v>
      </c>
      <c r="G8" s="13" t="str">
        <f>IF(LEN('export html'!BH8),'export html'!BH8,"")</f>
        <v>2-0</v>
      </c>
      <c r="K8" s="38"/>
    </row>
    <row r="9" spans="1:11" x14ac:dyDescent="0.3">
      <c r="A9"/>
      <c r="B9" s="32">
        <f>'export html'!BF9</f>
        <v>7</v>
      </c>
      <c r="C9" s="38">
        <f>'export html'!BE9</f>
        <v>41895</v>
      </c>
      <c r="D9" s="37" t="str">
        <f>'export html'!BI9</f>
        <v>Lierse</v>
      </c>
      <c r="E9" s="33" t="s">
        <v>7</v>
      </c>
      <c r="F9" s="37" t="str">
        <f>'export html'!BJ9</f>
        <v>Anderlecht</v>
      </c>
      <c r="G9" s="13" t="str">
        <f>IF(LEN('export html'!BH9),'export html'!BH9,"")</f>
        <v>2-2</v>
      </c>
      <c r="K9" s="38"/>
    </row>
    <row r="10" spans="1:11" x14ac:dyDescent="0.3">
      <c r="A10"/>
      <c r="B10" s="32">
        <f>'export html'!BF10</f>
        <v>8</v>
      </c>
      <c r="C10" s="38">
        <f>'export html'!BE10</f>
        <v>41902</v>
      </c>
      <c r="D10" s="37" t="str">
        <f>'export html'!BI10</f>
        <v>Westerlo</v>
      </c>
      <c r="E10" s="33" t="s">
        <v>7</v>
      </c>
      <c r="F10" s="37" t="str">
        <f>'export html'!BJ10</f>
        <v>Lierse</v>
      </c>
      <c r="G10" s="13" t="str">
        <f>IF(LEN('export html'!BH10),'export html'!BH10,"")</f>
        <v>6-1</v>
      </c>
    </row>
    <row r="11" spans="1:11" x14ac:dyDescent="0.3">
      <c r="A11"/>
      <c r="B11" s="32">
        <f>'export html'!BF11</f>
        <v>9</v>
      </c>
      <c r="C11" s="38">
        <f>'export html'!BE11</f>
        <v>41910</v>
      </c>
      <c r="D11" s="37" t="str">
        <f>'export html'!BI11</f>
        <v>Standard</v>
      </c>
      <c r="E11" s="33" t="s">
        <v>7</v>
      </c>
      <c r="F11" s="37" t="str">
        <f>'export html'!BJ11</f>
        <v>Lierse</v>
      </c>
      <c r="G11" s="13" t="str">
        <f>IF(LEN('export html'!BH11),'export html'!BH11,"")</f>
        <v>2-2</v>
      </c>
    </row>
    <row r="12" spans="1:11" x14ac:dyDescent="0.3">
      <c r="A12"/>
      <c r="B12" s="32">
        <f>'export html'!BF12</f>
        <v>10</v>
      </c>
      <c r="C12" s="38">
        <f>'export html'!BE12</f>
        <v>41916</v>
      </c>
      <c r="D12" s="37" t="str">
        <f>'export html'!BI12</f>
        <v>Lierse</v>
      </c>
      <c r="E12" s="33" t="s">
        <v>7</v>
      </c>
      <c r="F12" s="37" t="str">
        <f>'export html'!BJ12</f>
        <v>Zulte-Waregem</v>
      </c>
      <c r="G12" s="13" t="str">
        <f>IF(LEN('export html'!BH12),'export html'!BH12,"")</f>
        <v>3-1</v>
      </c>
    </row>
    <row r="13" spans="1:11" x14ac:dyDescent="0.3">
      <c r="A13"/>
      <c r="B13" s="32">
        <f>'export html'!BF13</f>
        <v>11</v>
      </c>
      <c r="C13" s="38">
        <f>'export html'!BE13</f>
        <v>41930</v>
      </c>
      <c r="D13" s="37" t="str">
        <f>'export html'!BI13</f>
        <v>Cercle Brugge</v>
      </c>
      <c r="E13" s="33" t="s">
        <v>7</v>
      </c>
      <c r="F13" s="37" t="str">
        <f>'export html'!BJ13</f>
        <v>Lierse</v>
      </c>
      <c r="G13" s="13" t="str">
        <f>IF(LEN('export html'!BH13),'export html'!BH13,"")</f>
        <v>1-2</v>
      </c>
    </row>
    <row r="14" spans="1:11" x14ac:dyDescent="0.3">
      <c r="A14"/>
      <c r="B14" s="32">
        <f>'export html'!BF14</f>
        <v>12</v>
      </c>
      <c r="C14" s="38">
        <f>'export html'!BE14</f>
        <v>41936</v>
      </c>
      <c r="D14" s="37" t="str">
        <f>'export html'!BI14</f>
        <v>Lierse</v>
      </c>
      <c r="E14" s="33" t="s">
        <v>7</v>
      </c>
      <c r="F14" s="37" t="str">
        <f>'export html'!BJ14</f>
        <v>KV Mechelen</v>
      </c>
      <c r="G14" s="13" t="str">
        <f>IF(LEN('export html'!BH14),'export html'!BH14,"")</f>
        <v>0-1</v>
      </c>
    </row>
    <row r="15" spans="1:11" x14ac:dyDescent="0.3">
      <c r="A15"/>
      <c r="B15" s="32">
        <f>'export html'!BF15</f>
        <v>13</v>
      </c>
      <c r="C15" s="38">
        <f>'export html'!BE15</f>
        <v>41940</v>
      </c>
      <c r="D15" s="37" t="str">
        <f>'export html'!BI15</f>
        <v>Genk</v>
      </c>
      <c r="E15" s="33" t="s">
        <v>7</v>
      </c>
      <c r="F15" s="37" t="str">
        <f>'export html'!BJ15</f>
        <v>Lierse</v>
      </c>
      <c r="G15" s="13" t="str">
        <f>IF(LEN('export html'!BH15),'export html'!BH15,"")</f>
        <v>3-0</v>
      </c>
    </row>
    <row r="16" spans="1:11" x14ac:dyDescent="0.3">
      <c r="A16"/>
      <c r="B16" s="32">
        <f>'export html'!BF16</f>
        <v>14</v>
      </c>
      <c r="C16" s="38">
        <f>'export html'!BE16</f>
        <v>41945</v>
      </c>
      <c r="D16" s="37" t="str">
        <f>'export html'!BI16</f>
        <v>Lierse</v>
      </c>
      <c r="E16" s="33" t="s">
        <v>7</v>
      </c>
      <c r="F16" s="37" t="str">
        <f>'export html'!BJ16</f>
        <v>Gent</v>
      </c>
      <c r="G16" s="13" t="str">
        <f>IF(LEN('export html'!BH16),'export html'!BH16,"")</f>
        <v>0-1</v>
      </c>
    </row>
    <row r="17" spans="1:7" x14ac:dyDescent="0.3">
      <c r="A17"/>
      <c r="B17" s="32">
        <f>'export html'!BF17</f>
        <v>15</v>
      </c>
      <c r="C17" s="38">
        <f>'export html'!BE17</f>
        <v>41951</v>
      </c>
      <c r="D17" s="37" t="str">
        <f>'export html'!BI17</f>
        <v>Kortrijk</v>
      </c>
      <c r="E17" s="33" t="s">
        <v>7</v>
      </c>
      <c r="F17" s="37" t="str">
        <f>'export html'!BJ17</f>
        <v>Lierse</v>
      </c>
      <c r="G17" s="13" t="str">
        <f>IF(LEN('export html'!BH17),'export html'!BH17,"")</f>
        <v>1-0</v>
      </c>
    </row>
    <row r="18" spans="1:7" x14ac:dyDescent="0.3">
      <c r="A18"/>
      <c r="B18" s="32">
        <f>'export html'!BF18</f>
        <v>16</v>
      </c>
      <c r="C18" s="38">
        <f>'export html'!BE18</f>
        <v>41965</v>
      </c>
      <c r="D18" s="37" t="str">
        <f>'export html'!BI18</f>
        <v>Moeskroen-Peruwelz</v>
      </c>
      <c r="E18" s="33" t="s">
        <v>7</v>
      </c>
      <c r="F18" s="37" t="str">
        <f>'export html'!BJ18</f>
        <v>Lierse</v>
      </c>
      <c r="G18" s="13" t="str">
        <f>IF(LEN('export html'!BH18),'export html'!BH18,"")</f>
        <v>2-1</v>
      </c>
    </row>
    <row r="19" spans="1:7" x14ac:dyDescent="0.3">
      <c r="A19"/>
      <c r="B19" s="32">
        <f>'export html'!BF19</f>
        <v>17</v>
      </c>
      <c r="C19" s="38">
        <f>'export html'!BE19</f>
        <v>41972</v>
      </c>
      <c r="D19" s="37" t="str">
        <f>'export html'!BI19</f>
        <v>Lierse</v>
      </c>
      <c r="E19" s="33" t="s">
        <v>7</v>
      </c>
      <c r="F19" s="37" t="str">
        <f>'export html'!BJ19</f>
        <v>Lokeren</v>
      </c>
      <c r="G19" s="13" t="str">
        <f>IF(LEN('export html'!BH19),'export html'!BH19,"")</f>
        <v>1-1</v>
      </c>
    </row>
    <row r="20" spans="1:7" x14ac:dyDescent="0.3">
      <c r="A20"/>
      <c r="B20" s="32">
        <f>'export html'!BF20</f>
        <v>18</v>
      </c>
      <c r="C20" s="38">
        <f>'export html'!BE20</f>
        <v>41979</v>
      </c>
      <c r="D20" s="37" t="str">
        <f>'export html'!BI20</f>
        <v>Oostende</v>
      </c>
      <c r="E20" s="33" t="s">
        <v>7</v>
      </c>
      <c r="F20" s="37" t="str">
        <f>'export html'!BJ20</f>
        <v>Lierse</v>
      </c>
      <c r="G20" s="13" t="str">
        <f>IF(LEN('export html'!BH20),'export html'!BH20,"")</f>
        <v>2-1</v>
      </c>
    </row>
    <row r="21" spans="1:7" x14ac:dyDescent="0.3">
      <c r="A21"/>
      <c r="B21" s="32">
        <f>'export html'!BF21</f>
        <v>19</v>
      </c>
      <c r="C21" s="38">
        <f>'export html'!BE21</f>
        <v>41986</v>
      </c>
      <c r="D21" s="37" t="str">
        <f>'export html'!BI21</f>
        <v>Lierse</v>
      </c>
      <c r="E21" s="33" t="s">
        <v>7</v>
      </c>
      <c r="F21" s="37" t="str">
        <f>'export html'!BJ21</f>
        <v>Westerlo</v>
      </c>
      <c r="G21" s="13" t="str">
        <f>IF(LEN('export html'!BH21),'export html'!BH21,"")</f>
        <v>3-3</v>
      </c>
    </row>
    <row r="22" spans="1:7" x14ac:dyDescent="0.3">
      <c r="A22"/>
      <c r="B22" s="32">
        <f>'export html'!BF22</f>
        <v>20</v>
      </c>
      <c r="C22" s="38">
        <f>'export html'!BE22</f>
        <v>41993</v>
      </c>
      <c r="D22" s="37" t="str">
        <f>'export html'!BI22</f>
        <v>Charleroi</v>
      </c>
      <c r="E22" s="33" t="s">
        <v>7</v>
      </c>
      <c r="F22" s="37" t="str">
        <f>'export html'!BJ22</f>
        <v>Lierse</v>
      </c>
      <c r="G22" s="13" t="str">
        <f>IF(LEN('export html'!BH22),'export html'!BH22,"")</f>
        <v>6-0</v>
      </c>
    </row>
    <row r="23" spans="1:7" x14ac:dyDescent="0.3">
      <c r="A23"/>
      <c r="B23" s="32">
        <f>'export html'!BF23</f>
        <v>21</v>
      </c>
      <c r="C23" s="38">
        <f>'export html'!BE23</f>
        <v>41999</v>
      </c>
      <c r="D23" s="37" t="str">
        <f>'export html'!BI23</f>
        <v>Lierse</v>
      </c>
      <c r="E23" s="33" t="s">
        <v>7</v>
      </c>
      <c r="F23" s="37" t="str">
        <f>'export html'!BJ23</f>
        <v>Club Brugge</v>
      </c>
      <c r="G23" s="13" t="str">
        <f>IF(LEN('export html'!BH23),'export html'!BH23,"")</f>
        <v>0-6</v>
      </c>
    </row>
    <row r="24" spans="1:7" x14ac:dyDescent="0.3">
      <c r="A24"/>
      <c r="B24" s="32">
        <f>'export html'!BF24</f>
        <v>22</v>
      </c>
      <c r="C24" s="38">
        <f>'export html'!BE24</f>
        <v>42022</v>
      </c>
      <c r="D24" s="37" t="str">
        <f>'export html'!BI24</f>
        <v>Anderlecht</v>
      </c>
      <c r="E24" s="33" t="s">
        <v>7</v>
      </c>
      <c r="F24" s="37" t="str">
        <f>'export html'!BJ24</f>
        <v>Lierse</v>
      </c>
      <c r="G24" s="13" t="str">
        <f>IF(LEN('export html'!BH24),'export html'!BH24,"")</f>
        <v>3-0</v>
      </c>
    </row>
    <row r="25" spans="1:7" x14ac:dyDescent="0.3">
      <c r="A25"/>
      <c r="B25" s="32">
        <f>'export html'!BF25</f>
        <v>23</v>
      </c>
      <c r="C25" s="38">
        <f>'export html'!BE25</f>
        <v>42028</v>
      </c>
      <c r="D25" s="37" t="str">
        <f>'export html'!BI25</f>
        <v>Lierse</v>
      </c>
      <c r="E25" s="33" t="s">
        <v>7</v>
      </c>
      <c r="F25" s="37" t="str">
        <f>'export html'!BJ25</f>
        <v>Waasland-Beveren</v>
      </c>
      <c r="G25" s="13" t="str">
        <f>IF(LEN('export html'!BH25),'export html'!BH25,"")</f>
        <v>1-1</v>
      </c>
    </row>
    <row r="26" spans="1:7" x14ac:dyDescent="0.3">
      <c r="A26"/>
      <c r="B26" s="32">
        <f>'export html'!BF26</f>
        <v>24</v>
      </c>
      <c r="C26" s="38">
        <f>'export html'!BE26</f>
        <v>42035</v>
      </c>
      <c r="D26" s="37" t="str">
        <f>'export html'!BI26</f>
        <v>Lierse</v>
      </c>
      <c r="E26" s="33" t="s">
        <v>7</v>
      </c>
      <c r="F26" s="37" t="str">
        <f>'export html'!BJ26</f>
        <v>Standard</v>
      </c>
      <c r="G26" s="13" t="str">
        <f>IF(LEN('export html'!BH26),'export html'!BH26,"")</f>
        <v>2-3</v>
      </c>
    </row>
    <row r="27" spans="1:7" x14ac:dyDescent="0.3">
      <c r="A27"/>
      <c r="B27" s="32">
        <f>'export html'!BF27</f>
        <v>25</v>
      </c>
      <c r="C27" s="38">
        <f>'export html'!BE27</f>
        <v>42042</v>
      </c>
      <c r="D27" s="37" t="str">
        <f>'export html'!BI27</f>
        <v>Zulte-Waregem</v>
      </c>
      <c r="E27" s="33" t="s">
        <v>7</v>
      </c>
      <c r="F27" s="37" t="str">
        <f>'export html'!BJ27</f>
        <v>Lierse</v>
      </c>
      <c r="G27" s="13" t="str">
        <f>IF(LEN('export html'!BH27),'export html'!BH27,"")</f>
        <v>2-3</v>
      </c>
    </row>
    <row r="28" spans="1:7" x14ac:dyDescent="0.3">
      <c r="A28"/>
      <c r="B28" s="32">
        <f>'export html'!BF28</f>
        <v>26</v>
      </c>
      <c r="C28" s="38">
        <f>'export html'!BE28</f>
        <v>42049</v>
      </c>
      <c r="D28" s="37" t="str">
        <f>'export html'!BI28</f>
        <v>Lierse</v>
      </c>
      <c r="E28" s="33" t="s">
        <v>7</v>
      </c>
      <c r="F28" s="37" t="str">
        <f>'export html'!BJ28</f>
        <v>Cercle Brugge</v>
      </c>
      <c r="G28" s="13" t="str">
        <f>IF(LEN('export html'!BH28),'export html'!BH28,"")</f>
        <v>2-1</v>
      </c>
    </row>
    <row r="29" spans="1:7" x14ac:dyDescent="0.3">
      <c r="A29"/>
      <c r="B29" s="32">
        <f>'export html'!BF29</f>
        <v>27</v>
      </c>
      <c r="C29" s="38">
        <f>'export html'!BE29</f>
        <v>42056</v>
      </c>
      <c r="D29" s="37" t="str">
        <f>'export html'!BI29</f>
        <v>KV Mechelen</v>
      </c>
      <c r="E29" s="33" t="s">
        <v>7</v>
      </c>
      <c r="F29" s="37" t="str">
        <f>'export html'!BJ29</f>
        <v>Lierse</v>
      </c>
      <c r="G29" s="13" t="str">
        <f>IF(LEN('export html'!BH29),'export html'!BH29,"")</f>
        <v>2-1</v>
      </c>
    </row>
    <row r="30" spans="1:7" x14ac:dyDescent="0.3">
      <c r="A30"/>
      <c r="B30" s="32">
        <f>'export html'!BF30</f>
        <v>28</v>
      </c>
      <c r="C30" s="38">
        <f>'export html'!BE30</f>
        <v>42063</v>
      </c>
      <c r="D30" s="37" t="str">
        <f>'export html'!BI30</f>
        <v>Lierse</v>
      </c>
      <c r="E30" s="33" t="s">
        <v>7</v>
      </c>
      <c r="F30" s="37" t="str">
        <f>'export html'!BJ30</f>
        <v>Genk</v>
      </c>
      <c r="G30" s="13" t="str">
        <f>IF(LEN('export html'!BH30),'export html'!BH30,"")</f>
        <v>0-2</v>
      </c>
    </row>
    <row r="31" spans="1:7" x14ac:dyDescent="0.3">
      <c r="A31"/>
      <c r="B31" s="32">
        <f>'export html'!BF31</f>
        <v>29</v>
      </c>
      <c r="C31" s="38">
        <f>'export html'!BE31</f>
        <v>42070</v>
      </c>
      <c r="D31" s="37" t="str">
        <f>'export html'!BI31</f>
        <v>Gent</v>
      </c>
      <c r="E31" s="33" t="s">
        <v>7</v>
      </c>
      <c r="F31" s="37" t="str">
        <f>'export html'!BJ31</f>
        <v>Lierse</v>
      </c>
      <c r="G31" s="13" t="str">
        <f>IF(LEN('export html'!BH31),'export html'!BH31,"")</f>
        <v>2-1</v>
      </c>
    </row>
    <row r="32" spans="1:7" x14ac:dyDescent="0.3">
      <c r="A32"/>
      <c r="B32" s="32">
        <f>'export html'!BF32</f>
        <v>30</v>
      </c>
      <c r="C32" s="38">
        <f>'export html'!BE32</f>
        <v>42077</v>
      </c>
      <c r="D32" s="37" t="str">
        <f>'export html'!BI32</f>
        <v>Lierse</v>
      </c>
      <c r="E32" s="33" t="s">
        <v>7</v>
      </c>
      <c r="F32" s="37" t="str">
        <f>'export html'!BJ32</f>
        <v>Kortrijk</v>
      </c>
      <c r="G32" s="13" t="str">
        <f>IF(LEN('export html'!BH32),'export html'!BH32,"")</f>
        <v>0-0</v>
      </c>
    </row>
    <row r="33" spans="1:7" x14ac:dyDescent="0.3">
      <c r="A33"/>
      <c r="B33" s="32"/>
      <c r="C33" s="38"/>
      <c r="D33" s="37"/>
      <c r="E33" s="33"/>
      <c r="F33" s="37"/>
      <c r="G33" s="13"/>
    </row>
  </sheetData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2049" r:id="rId3" name="GenereerKalender">
          <controlPr defaultSize="0" autoLine="0" r:id="rId4">
            <anchor moveWithCells="1">
              <from>
                <xdr:col>3</xdr:col>
                <xdr:colOff>0</xdr:colOff>
                <xdr:row>0</xdr:row>
                <xdr:rowOff>276225</xdr:rowOff>
              </from>
              <to>
                <xdr:col>5</xdr:col>
                <xdr:colOff>990600</xdr:colOff>
                <xdr:row>0</xdr:row>
                <xdr:rowOff>609600</xdr:rowOff>
              </to>
            </anchor>
          </controlPr>
        </control>
      </mc:Choice>
      <mc:Fallback>
        <control shapeId="2049" r:id="rId3" name="GenereerKalen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C23"/>
  <sheetViews>
    <sheetView workbookViewId="0"/>
  </sheetViews>
  <sheetFormatPr defaultRowHeight="15" x14ac:dyDescent="0.3"/>
  <cols>
    <col min="1" max="1" width="20.5703125" style="6" bestFit="1" customWidth="1"/>
    <col min="2" max="2" width="10.28515625" style="6" bestFit="1" customWidth="1"/>
    <col min="3" max="3" width="9.7109375" style="6" bestFit="1" customWidth="1"/>
    <col min="4" max="5" width="9.140625" style="6"/>
    <col min="6" max="6" width="17.5703125" style="6" bestFit="1" customWidth="1"/>
    <col min="7" max="16384" width="9.140625" style="6"/>
  </cols>
  <sheetData>
    <row r="1" spans="1:3" x14ac:dyDescent="0.3">
      <c r="A1" s="117" t="s">
        <v>96</v>
      </c>
      <c r="B1" s="118" t="s">
        <v>36</v>
      </c>
      <c r="C1" s="118" t="s">
        <v>95</v>
      </c>
    </row>
    <row r="2" spans="1:3" x14ac:dyDescent="0.3">
      <c r="A2" s="186" t="s">
        <v>79</v>
      </c>
      <c r="B2" s="187">
        <v>2</v>
      </c>
      <c r="C2" s="188">
        <f>RANK(tbl_Spelers[[#This Row],[Goals]],tbl_Spelers[Goals])+ROW()/10^4</f>
        <v>3.0002</v>
      </c>
    </row>
    <row r="3" spans="1:3" x14ac:dyDescent="0.3">
      <c r="A3" s="198" t="s">
        <v>117</v>
      </c>
      <c r="B3" s="119">
        <v>1</v>
      </c>
      <c r="C3" s="74">
        <f>RANK(tbl_Spelers[[#This Row],[Goals]],tbl_Spelers[Goals])+ROW()/10^4</f>
        <v>9.0002999999999993</v>
      </c>
    </row>
    <row r="4" spans="1:3" x14ac:dyDescent="0.3">
      <c r="A4" s="198" t="s">
        <v>139</v>
      </c>
      <c r="B4" s="119">
        <v>1</v>
      </c>
      <c r="C4" s="74">
        <f>RANK(tbl_Spelers[[#This Row],[Goals]],tbl_Spelers[Goals])+ROW()/10^4</f>
        <v>9.0004000000000008</v>
      </c>
    </row>
    <row r="5" spans="1:3" x14ac:dyDescent="0.3">
      <c r="A5" s="207" t="s">
        <v>138</v>
      </c>
      <c r="B5" s="205">
        <v>4</v>
      </c>
      <c r="C5" s="206">
        <f>RANK(tbl_Spelers[[#This Row],[Goals]],tbl_Spelers[Goals])+ROW()/10^4</f>
        <v>2.0005000000000002</v>
      </c>
    </row>
    <row r="6" spans="1:3" x14ac:dyDescent="0.3">
      <c r="A6" s="10" t="s">
        <v>100</v>
      </c>
      <c r="B6" s="119">
        <v>5</v>
      </c>
      <c r="C6" s="74">
        <f>RANK(tbl_Spelers[[#This Row],[Goals]],tbl_Spelers[Goals])+ROW()/10^4</f>
        <v>1.0005999999999999</v>
      </c>
    </row>
    <row r="7" spans="1:3" x14ac:dyDescent="0.3">
      <c r="A7" s="10" t="s">
        <v>127</v>
      </c>
      <c r="B7" s="119">
        <v>2</v>
      </c>
      <c r="C7" s="74">
        <f>RANK(tbl_Spelers[[#This Row],[Goals]],tbl_Spelers[Goals])+ROW()/10^4</f>
        <v>3.0007000000000001</v>
      </c>
    </row>
    <row r="8" spans="1:3" x14ac:dyDescent="0.3">
      <c r="A8" s="10" t="s">
        <v>91</v>
      </c>
      <c r="B8" s="187">
        <v>1</v>
      </c>
      <c r="C8" s="188">
        <f>RANK(tbl_Spelers[[#This Row],[Goals]],tbl_Spelers[Goals])+ROW()/10^4</f>
        <v>9.0007999999999999</v>
      </c>
    </row>
    <row r="9" spans="1:3" x14ac:dyDescent="0.3">
      <c r="A9" s="10" t="s">
        <v>123</v>
      </c>
      <c r="B9" s="119">
        <v>1</v>
      </c>
      <c r="C9" s="74">
        <f>RANK(tbl_Spelers[[#This Row],[Goals]],tbl_Spelers[Goals])+ROW()/10^4</f>
        <v>9.0008999999999997</v>
      </c>
    </row>
    <row r="10" spans="1:3" x14ac:dyDescent="0.3">
      <c r="A10" s="10" t="s">
        <v>121</v>
      </c>
      <c r="B10" s="119">
        <v>1</v>
      </c>
      <c r="C10" s="74">
        <f>RANK(tbl_Spelers[[#This Row],[Goals]],tbl_Spelers[Goals])+ROW()/10^4</f>
        <v>9.0009999999999994</v>
      </c>
    </row>
    <row r="11" spans="1:3" x14ac:dyDescent="0.3">
      <c r="A11" s="204" t="s">
        <v>136</v>
      </c>
      <c r="B11" s="205">
        <v>1</v>
      </c>
      <c r="C11" s="206">
        <f>RANK(tbl_Spelers[[#This Row],[Goals]],tbl_Spelers[Goals])+ROW()/10^4</f>
        <v>9.0010999999999992</v>
      </c>
    </row>
    <row r="12" spans="1:3" x14ac:dyDescent="0.3">
      <c r="A12" s="195" t="s">
        <v>114</v>
      </c>
      <c r="B12" s="196">
        <v>2</v>
      </c>
      <c r="C12" s="197">
        <f>RANK(tbl_Spelers[[#This Row],[Goals]],tbl_Spelers[Goals])+ROW()/10^4</f>
        <v>3.0011999999999999</v>
      </c>
    </row>
    <row r="13" spans="1:3" x14ac:dyDescent="0.3">
      <c r="A13" s="10" t="s">
        <v>130</v>
      </c>
      <c r="B13" s="119">
        <v>2</v>
      </c>
      <c r="C13" s="74">
        <f>RANK(tbl_Spelers[[#This Row],[Goals]],tbl_Spelers[Goals])+ROW()/10^4</f>
        <v>3.0013000000000001</v>
      </c>
    </row>
    <row r="14" spans="1:3" x14ac:dyDescent="0.3">
      <c r="A14" s="10" t="s">
        <v>122</v>
      </c>
      <c r="B14" s="119">
        <v>2</v>
      </c>
      <c r="C14" s="188">
        <f>RANK(tbl_Spelers[[#This Row],[Goals]],tbl_Spelers[Goals])+ROW()/10^4</f>
        <v>3.0013999999999998</v>
      </c>
    </row>
    <row r="15" spans="1:3" x14ac:dyDescent="0.3">
      <c r="A15" s="10" t="s">
        <v>131</v>
      </c>
      <c r="B15" s="119">
        <v>1</v>
      </c>
      <c r="C15" s="74">
        <f>RANK(tbl_Spelers[[#This Row],[Goals]],tbl_Spelers[Goals])+ROW()/10^4</f>
        <v>9.0015000000000001</v>
      </c>
    </row>
    <row r="16" spans="1:3" x14ac:dyDescent="0.3">
      <c r="A16" s="204" t="s">
        <v>137</v>
      </c>
      <c r="B16" s="205">
        <v>2</v>
      </c>
      <c r="C16" s="206">
        <f>RANK(tbl_Spelers[[#This Row],[Goals]],tbl_Spelers[Goals])+ROW()/10^4</f>
        <v>3.0015999999999998</v>
      </c>
    </row>
    <row r="17" spans="1:3" x14ac:dyDescent="0.3">
      <c r="A17" s="199" t="s">
        <v>120</v>
      </c>
      <c r="B17" s="200">
        <v>1</v>
      </c>
      <c r="C17" s="201">
        <f>RANK(tbl_Spelers[[#This Row],[Goals]],tbl_Spelers[Goals])+ROW()/10^4</f>
        <v>9.0016999999999996</v>
      </c>
    </row>
    <row r="18" spans="1:3" x14ac:dyDescent="0.3">
      <c r="A18" s="189" t="s">
        <v>94</v>
      </c>
      <c r="B18" s="188">
        <v>1</v>
      </c>
      <c r="C18" s="188">
        <f>RANK(tbl_Spelers[[#This Row],[Goals]],tbl_Spelers[Goals])+ROW()/10^4</f>
        <v>9.0017999999999994</v>
      </c>
    </row>
    <row r="19" spans="1:3" x14ac:dyDescent="0.3">
      <c r="A19" s="10" t="s">
        <v>80</v>
      </c>
      <c r="B19" s="119">
        <v>0</v>
      </c>
      <c r="C19" s="188">
        <f>RANK(tbl_Spelers[[#This Row],[Goals]],tbl_Spelers[Goals])+ROW()/10^4</f>
        <v>18.001899999999999</v>
      </c>
    </row>
    <row r="21" spans="1:3" x14ac:dyDescent="0.3">
      <c r="A21" s="120" t="s">
        <v>37</v>
      </c>
      <c r="B21" s="121">
        <v>0</v>
      </c>
    </row>
    <row r="22" spans="1:3" x14ac:dyDescent="0.3">
      <c r="A22" s="120" t="s">
        <v>38</v>
      </c>
      <c r="B22" s="122">
        <v>0</v>
      </c>
    </row>
    <row r="23" spans="1:3" x14ac:dyDescent="0.3">
      <c r="A23" s="123" t="s">
        <v>39</v>
      </c>
      <c r="B23" s="119">
        <f>IF(SUM(B2:B22)=0,"",SUM(B2:B22))</f>
        <v>30</v>
      </c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rooster en stand</vt:lpstr>
      <vt:lpstr>export html</vt:lpstr>
      <vt:lpstr>kalender</vt:lpstr>
      <vt:lpstr>spelersstatistieken</vt:lpstr>
      <vt:lpstr>datums</vt:lpstr>
      <vt:lpstr>datumsploeg</vt:lpstr>
      <vt:lpstr>HulpberekeningenStand</vt:lpstr>
      <vt:lpstr>matchen_vandaag</vt:lpstr>
      <vt:lpstr>MatchenPerPloeg</vt:lpstr>
      <vt:lpstr>OngekendeDatums</vt:lpstr>
      <vt:lpstr>speeldagen</vt:lpstr>
      <vt:lpstr>speeldagenploeg</vt:lpstr>
      <vt:lpstr>StandBer</vt:lpstr>
      <vt:lpstr>uitslagen</vt:lpstr>
      <vt:lpstr>VOspd</vt:lpstr>
    </vt:vector>
  </TitlesOfParts>
  <Manager>Voetbal</Manager>
  <Company>http://www.wimgielis.be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Lierse 2013-2015</dc:title>
  <dc:subject>Voetbalbestand voor Lierse</dc:subject>
  <dc:creator>Wim Gielis</dc:creator>
  <cp:keywords>Voetbal, automatische stand, macro's</cp:keywords>
  <cp:lastModifiedBy>Wim Gielis</cp:lastModifiedBy>
  <dcterms:created xsi:type="dcterms:W3CDTF">2006-08-31T22:00:00Z</dcterms:created>
  <dcterms:modified xsi:type="dcterms:W3CDTF">2015-03-15T20:37:15Z</dcterms:modified>
</cp:coreProperties>
</file>